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dcc079c68bc5ffc7/Documents/Stocks/"/>
    </mc:Choice>
  </mc:AlternateContent>
  <xr:revisionPtr revIDLastSave="1" documentId="11_064CA699041611D35F3BD96EC46E7FFD3B632AA4" xr6:coauthVersionLast="47" xr6:coauthVersionMax="47" xr10:uidLastSave="{501D7DAE-C53B-4D46-AE27-CAE633A1397E}"/>
  <bookViews>
    <workbookView xWindow="-120" yWindow="-120" windowWidth="38640" windowHeight="21240" activeTab="1" xr2:uid="{00000000-000D-0000-FFFF-FFFF00000000}"/>
  </bookViews>
  <sheets>
    <sheet name="Stocks" sheetId="1" r:id="rId1"/>
    <sheet name="Watchlists" sheetId="2" r:id="rId2"/>
    <sheet name="Daytrades" sheetId="3" r:id="rId3"/>
    <sheet name="Stockstats" sheetId="4" r:id="rId4"/>
    <sheet name="Themes" sheetId="5" r:id="rId5"/>
    <sheet name="TCSSS" sheetId="6" r:id="rId6"/>
    <sheet name="Useful info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3" l="1"/>
  <c r="K8" i="3"/>
  <c r="L7" i="3"/>
  <c r="K7" i="3"/>
  <c r="L6" i="3"/>
  <c r="K6" i="3"/>
  <c r="K4" i="3"/>
  <c r="BW196" i="2"/>
  <c r="BV196" i="2"/>
  <c r="BP196" i="2"/>
  <c r="BO196" i="2"/>
  <c r="BN196" i="2"/>
  <c r="BM196" i="2"/>
  <c r="BL196" i="2"/>
  <c r="BK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L196" i="2"/>
  <c r="AK196" i="2"/>
  <c r="AJ196" i="2"/>
  <c r="AI196" i="2"/>
  <c r="AH196" i="2"/>
  <c r="AG196" i="2"/>
  <c r="AF196" i="2"/>
  <c r="L196" i="2"/>
  <c r="K196" i="2"/>
  <c r="BX195" i="2"/>
  <c r="BW195" i="2"/>
  <c r="BV195" i="2"/>
  <c r="BP195" i="2"/>
  <c r="BO195" i="2"/>
  <c r="BN195" i="2"/>
  <c r="BM195" i="2"/>
  <c r="BL195" i="2"/>
  <c r="BK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L195" i="2"/>
  <c r="K195" i="2"/>
  <c r="BX194" i="2"/>
  <c r="BW194" i="2"/>
  <c r="BV194" i="2"/>
  <c r="BP194" i="2"/>
  <c r="BO194" i="2"/>
  <c r="BN194" i="2"/>
  <c r="BM194" i="2"/>
  <c r="BL194" i="2"/>
  <c r="BK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L194" i="2"/>
  <c r="K194" i="2"/>
  <c r="BW193" i="2"/>
  <c r="BV193" i="2"/>
  <c r="BP193" i="2"/>
  <c r="BO193" i="2"/>
  <c r="BN193" i="2"/>
  <c r="BM193" i="2"/>
  <c r="BL193" i="2"/>
  <c r="BK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L193" i="2"/>
  <c r="K193" i="2"/>
  <c r="BX192" i="2"/>
  <c r="BW192" i="2"/>
  <c r="BV192" i="2"/>
  <c r="BP192" i="2"/>
  <c r="BO192" i="2"/>
  <c r="BN192" i="2"/>
  <c r="BM192" i="2"/>
  <c r="BL192" i="2"/>
  <c r="BK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L192" i="2"/>
  <c r="K192" i="2"/>
  <c r="BX191" i="2"/>
  <c r="BW191" i="2"/>
  <c r="BV191" i="2"/>
  <c r="BX181" i="2" s="1"/>
  <c r="BP191" i="2"/>
  <c r="BO191" i="2"/>
  <c r="BN191" i="2"/>
  <c r="BM191" i="2"/>
  <c r="BL191" i="2"/>
  <c r="BK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L191" i="2"/>
  <c r="K191" i="2"/>
  <c r="BW190" i="2"/>
  <c r="BV190" i="2"/>
  <c r="BP190" i="2"/>
  <c r="BO190" i="2"/>
  <c r="BN190" i="2"/>
  <c r="BM190" i="2"/>
  <c r="BL190" i="2"/>
  <c r="BK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L190" i="2"/>
  <c r="K190" i="2"/>
  <c r="BW189" i="2"/>
  <c r="BV189" i="2"/>
  <c r="BP189" i="2"/>
  <c r="BO189" i="2"/>
  <c r="BN189" i="2"/>
  <c r="BM189" i="2"/>
  <c r="BL189" i="2"/>
  <c r="BK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L189" i="2"/>
  <c r="AK189" i="2"/>
  <c r="AJ189" i="2"/>
  <c r="AI189" i="2"/>
  <c r="AH189" i="2"/>
  <c r="AG189" i="2"/>
  <c r="AF189" i="2"/>
  <c r="L189" i="2"/>
  <c r="K189" i="2"/>
  <c r="BX188" i="2"/>
  <c r="BW188" i="2"/>
  <c r="BV188" i="2"/>
  <c r="BX190" i="2" s="1"/>
  <c r="BP188" i="2"/>
  <c r="BO188" i="2"/>
  <c r="BN188" i="2"/>
  <c r="BM188" i="2"/>
  <c r="BL188" i="2"/>
  <c r="BK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L188" i="2"/>
  <c r="K188" i="2"/>
  <c r="BX187" i="2"/>
  <c r="BW187" i="2"/>
  <c r="BV187" i="2"/>
  <c r="BX189" i="2" s="1"/>
  <c r="BP187" i="2"/>
  <c r="BO187" i="2"/>
  <c r="BN187" i="2"/>
  <c r="BM187" i="2"/>
  <c r="BL187" i="2"/>
  <c r="BK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L187" i="2"/>
  <c r="K187" i="2"/>
  <c r="BW186" i="2"/>
  <c r="BV186" i="2"/>
  <c r="BP186" i="2"/>
  <c r="BO186" i="2"/>
  <c r="BN186" i="2"/>
  <c r="BM186" i="2"/>
  <c r="BL186" i="2"/>
  <c r="BK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L186" i="2"/>
  <c r="AK186" i="2"/>
  <c r="AJ186" i="2"/>
  <c r="AI186" i="2"/>
  <c r="AH186" i="2"/>
  <c r="AG186" i="2"/>
  <c r="AF186" i="2"/>
  <c r="L186" i="2"/>
  <c r="K186" i="2"/>
  <c r="BX185" i="2"/>
  <c r="BW185" i="2"/>
  <c r="BV185" i="2"/>
  <c r="BP185" i="2"/>
  <c r="BO185" i="2"/>
  <c r="BN185" i="2"/>
  <c r="BM185" i="2"/>
  <c r="BL185" i="2"/>
  <c r="BK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L185" i="2"/>
  <c r="AK185" i="2"/>
  <c r="AJ185" i="2"/>
  <c r="AI185" i="2"/>
  <c r="AH185" i="2"/>
  <c r="AG185" i="2"/>
  <c r="AF185" i="2"/>
  <c r="L185" i="2"/>
  <c r="K185" i="2"/>
  <c r="BW184" i="2"/>
  <c r="BX186" i="2" s="1"/>
  <c r="BV184" i="2"/>
  <c r="BP184" i="2"/>
  <c r="BO184" i="2"/>
  <c r="BN184" i="2"/>
  <c r="BM184" i="2"/>
  <c r="BL184" i="2"/>
  <c r="BK184" i="2"/>
  <c r="BH184" i="2"/>
  <c r="BG184" i="2"/>
  <c r="BF184" i="2"/>
  <c r="BE184" i="2"/>
  <c r="BD184" i="2"/>
  <c r="BC184" i="2"/>
  <c r="BB184" i="2"/>
  <c r="BA184" i="2"/>
  <c r="AZ184" i="2"/>
  <c r="AY184" i="2"/>
  <c r="AX184" i="2"/>
  <c r="AL184" i="2"/>
  <c r="AK184" i="2"/>
  <c r="AJ184" i="2"/>
  <c r="AI184" i="2"/>
  <c r="AH184" i="2"/>
  <c r="AG184" i="2"/>
  <c r="AF184" i="2"/>
  <c r="L184" i="2"/>
  <c r="K184" i="2"/>
  <c r="BX183" i="2"/>
  <c r="BW183" i="2"/>
  <c r="BX180" i="2" s="1"/>
  <c r="BV183" i="2"/>
  <c r="BP183" i="2"/>
  <c r="BO183" i="2"/>
  <c r="BN183" i="2"/>
  <c r="BM183" i="2"/>
  <c r="BL183" i="2"/>
  <c r="BK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L183" i="2"/>
  <c r="K183" i="2"/>
  <c r="BX182" i="2"/>
  <c r="BW182" i="2"/>
  <c r="BX196" i="2" s="1"/>
  <c r="BV182" i="2"/>
  <c r="BP182" i="2"/>
  <c r="BO182" i="2"/>
  <c r="BN182" i="2"/>
  <c r="BM182" i="2"/>
  <c r="BL182" i="2"/>
  <c r="BK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L182" i="2"/>
  <c r="AK182" i="2"/>
  <c r="AJ182" i="2"/>
  <c r="AI182" i="2"/>
  <c r="AH182" i="2"/>
  <c r="AG182" i="2"/>
  <c r="AF182" i="2"/>
  <c r="L182" i="2"/>
  <c r="K182" i="2"/>
  <c r="BW181" i="2"/>
  <c r="BV181" i="2"/>
  <c r="BP181" i="2"/>
  <c r="BO181" i="2"/>
  <c r="BN181" i="2"/>
  <c r="BM181" i="2"/>
  <c r="BL181" i="2"/>
  <c r="BK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L181" i="2"/>
  <c r="AK181" i="2"/>
  <c r="AJ181" i="2"/>
  <c r="AI181" i="2"/>
  <c r="AH181" i="2"/>
  <c r="AG181" i="2"/>
  <c r="AF181" i="2"/>
  <c r="L181" i="2"/>
  <c r="K181" i="2"/>
  <c r="BW180" i="2"/>
  <c r="BX193" i="2" s="1"/>
  <c r="BV180" i="2"/>
  <c r="BP180" i="2"/>
  <c r="BO180" i="2"/>
  <c r="BN180" i="2"/>
  <c r="BM180" i="2"/>
  <c r="BL180" i="2"/>
  <c r="BK180" i="2"/>
  <c r="BH180" i="2"/>
  <c r="BG180" i="2"/>
  <c r="BF180" i="2"/>
  <c r="BE180" i="2"/>
  <c r="BD180" i="2"/>
  <c r="BC180" i="2"/>
  <c r="BB180" i="2"/>
  <c r="BA180" i="2"/>
  <c r="AZ180" i="2"/>
  <c r="AY180" i="2"/>
  <c r="AX180" i="2"/>
  <c r="AL180" i="2"/>
  <c r="AK180" i="2"/>
  <c r="AJ180" i="2"/>
  <c r="AI180" i="2"/>
  <c r="AH180" i="2"/>
  <c r="AG180" i="2"/>
  <c r="AF180" i="2"/>
  <c r="L180" i="2"/>
  <c r="K180" i="2"/>
  <c r="BX179" i="2"/>
  <c r="BW179" i="2"/>
  <c r="BV179" i="2"/>
  <c r="BP179" i="2"/>
  <c r="BO179" i="2"/>
  <c r="BN179" i="2"/>
  <c r="BM179" i="2"/>
  <c r="BL179" i="2"/>
  <c r="BK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L179" i="2"/>
  <c r="K179" i="2"/>
  <c r="BX178" i="2"/>
  <c r="BW178" i="2"/>
  <c r="BV178" i="2"/>
  <c r="BX184" i="2" s="1"/>
  <c r="BP178" i="2"/>
  <c r="BO178" i="2"/>
  <c r="BN178" i="2"/>
  <c r="BM178" i="2"/>
  <c r="BL178" i="2"/>
  <c r="BK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L178" i="2"/>
  <c r="K178" i="2"/>
  <c r="BX177" i="2"/>
  <c r="BW177" i="2"/>
  <c r="BV177" i="2"/>
  <c r="BP177" i="2"/>
  <c r="BO177" i="2"/>
  <c r="BN177" i="2"/>
  <c r="BM177" i="2"/>
  <c r="BL177" i="2"/>
  <c r="BK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L177" i="2"/>
  <c r="K177" i="2"/>
  <c r="BX176" i="2"/>
  <c r="BW176" i="2"/>
  <c r="BV176" i="2"/>
  <c r="BP176" i="2"/>
  <c r="BO176" i="2"/>
  <c r="BN176" i="2"/>
  <c r="BM176" i="2"/>
  <c r="BL176" i="2"/>
  <c r="BK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L176" i="2"/>
  <c r="K176" i="2"/>
  <c r="BX175" i="2"/>
  <c r="BW175" i="2"/>
  <c r="BV175" i="2"/>
  <c r="BP175" i="2"/>
  <c r="BO175" i="2"/>
  <c r="BN175" i="2"/>
  <c r="BM175" i="2"/>
  <c r="BL175" i="2"/>
  <c r="BK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L175" i="2"/>
  <c r="K175" i="2"/>
  <c r="BX174" i="2"/>
  <c r="BW174" i="2"/>
  <c r="BV174" i="2"/>
  <c r="BX163" i="2" s="1"/>
  <c r="BP174" i="2"/>
  <c r="BO174" i="2"/>
  <c r="BN174" i="2"/>
  <c r="BM174" i="2"/>
  <c r="BL174" i="2"/>
  <c r="BK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L174" i="2"/>
  <c r="K174" i="2"/>
  <c r="BX173" i="2"/>
  <c r="BW173" i="2"/>
  <c r="BV173" i="2"/>
  <c r="BP173" i="2"/>
  <c r="BO173" i="2"/>
  <c r="BN173" i="2"/>
  <c r="BM173" i="2"/>
  <c r="BL173" i="2"/>
  <c r="BK173" i="2"/>
  <c r="BH173" i="2"/>
  <c r="BG173" i="2"/>
  <c r="BF173" i="2"/>
  <c r="BE173" i="2"/>
  <c r="BD173" i="2"/>
  <c r="BC173" i="2"/>
  <c r="BB173" i="2"/>
  <c r="BA173" i="2"/>
  <c r="AZ173" i="2"/>
  <c r="AY173" i="2"/>
  <c r="AX173" i="2"/>
  <c r="AL173" i="2"/>
  <c r="AK173" i="2"/>
  <c r="AJ173" i="2"/>
  <c r="AI173" i="2"/>
  <c r="AH173" i="2"/>
  <c r="AG173" i="2"/>
  <c r="AF173" i="2"/>
  <c r="L173" i="2"/>
  <c r="K173" i="2"/>
  <c r="BW172" i="2"/>
  <c r="BX169" i="2" s="1"/>
  <c r="BV172" i="2"/>
  <c r="BP172" i="2"/>
  <c r="BO172" i="2"/>
  <c r="BN172" i="2"/>
  <c r="BM172" i="2"/>
  <c r="BL172" i="2"/>
  <c r="BK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L172" i="2"/>
  <c r="K172" i="2"/>
  <c r="BW171" i="2"/>
  <c r="BX170" i="2" s="1"/>
  <c r="BV171" i="2"/>
  <c r="BP171" i="2"/>
  <c r="BO171" i="2"/>
  <c r="BN171" i="2"/>
  <c r="BM171" i="2"/>
  <c r="BL171" i="2"/>
  <c r="BK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L171" i="2"/>
  <c r="K171" i="2"/>
  <c r="BW170" i="2"/>
  <c r="BX171" i="2" s="1"/>
  <c r="BV170" i="2"/>
  <c r="BP170" i="2"/>
  <c r="BO170" i="2"/>
  <c r="BN170" i="2"/>
  <c r="BM170" i="2"/>
  <c r="BL170" i="2"/>
  <c r="BK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L170" i="2"/>
  <c r="K170" i="2"/>
  <c r="BW169" i="2"/>
  <c r="BX164" i="2" s="1"/>
  <c r="BV169" i="2"/>
  <c r="BP169" i="2"/>
  <c r="BO169" i="2"/>
  <c r="BN169" i="2"/>
  <c r="BM169" i="2"/>
  <c r="BL169" i="2"/>
  <c r="BK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L169" i="2"/>
  <c r="K169" i="2"/>
  <c r="BW168" i="2"/>
  <c r="BV168" i="2"/>
  <c r="BP168" i="2"/>
  <c r="BO168" i="2"/>
  <c r="BN168" i="2"/>
  <c r="BM168" i="2"/>
  <c r="BL168" i="2"/>
  <c r="BK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L168" i="2"/>
  <c r="K168" i="2"/>
  <c r="BW167" i="2"/>
  <c r="BX165" i="2" s="1"/>
  <c r="BV167" i="2"/>
  <c r="BP167" i="2"/>
  <c r="BO167" i="2"/>
  <c r="BN167" i="2"/>
  <c r="BM167" i="2"/>
  <c r="BL167" i="2"/>
  <c r="BK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L167" i="2"/>
  <c r="K167" i="2"/>
  <c r="BW166" i="2"/>
  <c r="BX166" i="2" s="1"/>
  <c r="BV166" i="2"/>
  <c r="BP166" i="2"/>
  <c r="BO166" i="2"/>
  <c r="BN166" i="2"/>
  <c r="BM166" i="2"/>
  <c r="BL166" i="2"/>
  <c r="BK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L166" i="2"/>
  <c r="K166" i="2"/>
  <c r="BW165" i="2"/>
  <c r="BX172" i="2" s="1"/>
  <c r="BV165" i="2"/>
  <c r="BP165" i="2"/>
  <c r="BO165" i="2"/>
  <c r="BN165" i="2"/>
  <c r="BM165" i="2"/>
  <c r="BL165" i="2"/>
  <c r="BK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L165" i="2"/>
  <c r="K165" i="2"/>
  <c r="BW164" i="2"/>
  <c r="BX167" i="2" s="1"/>
  <c r="BV164" i="2"/>
  <c r="BP164" i="2"/>
  <c r="BO164" i="2"/>
  <c r="BN164" i="2"/>
  <c r="BM164" i="2"/>
  <c r="BL164" i="2"/>
  <c r="BK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L164" i="2"/>
  <c r="K164" i="2"/>
  <c r="BW163" i="2"/>
  <c r="BX168" i="2" s="1"/>
  <c r="BV163" i="2"/>
  <c r="BP163" i="2"/>
  <c r="BO163" i="2"/>
  <c r="BN163" i="2"/>
  <c r="BM163" i="2"/>
  <c r="BL163" i="2"/>
  <c r="BK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L163" i="2"/>
  <c r="K163" i="2"/>
  <c r="BW162" i="2"/>
  <c r="BX162" i="2" s="1"/>
  <c r="BV162" i="2"/>
  <c r="BP162" i="2"/>
  <c r="BO162" i="2"/>
  <c r="BN162" i="2"/>
  <c r="BM162" i="2"/>
  <c r="BL162" i="2"/>
  <c r="BK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L162" i="2"/>
  <c r="K162" i="2"/>
  <c r="L161" i="2"/>
  <c r="K161" i="2"/>
  <c r="L160" i="2"/>
  <c r="K160" i="2"/>
  <c r="L159" i="2"/>
  <c r="K159" i="2"/>
  <c r="L158" i="2"/>
  <c r="K158" i="2"/>
  <c r="L157" i="2"/>
  <c r="K157" i="2"/>
  <c r="L156" i="2"/>
  <c r="K156" i="2"/>
  <c r="L155" i="2"/>
  <c r="K155" i="2"/>
  <c r="L154" i="2"/>
  <c r="K154" i="2"/>
  <c r="L153" i="2"/>
  <c r="K153" i="2"/>
  <c r="L152" i="2"/>
  <c r="K152" i="2"/>
  <c r="L151" i="2"/>
  <c r="K151" i="2"/>
  <c r="L150" i="2"/>
  <c r="K150" i="2"/>
  <c r="L149" i="2"/>
  <c r="K149" i="2"/>
  <c r="L148" i="2"/>
  <c r="K148" i="2"/>
  <c r="L147" i="2"/>
  <c r="K147" i="2"/>
  <c r="L146" i="2"/>
  <c r="K146" i="2"/>
  <c r="L145" i="2"/>
  <c r="K145" i="2"/>
  <c r="L144" i="2"/>
  <c r="K144" i="2"/>
  <c r="L143" i="2"/>
  <c r="K143" i="2"/>
  <c r="L142" i="2"/>
  <c r="K142" i="2"/>
  <c r="L141" i="2"/>
  <c r="K141" i="2"/>
  <c r="L140" i="2"/>
  <c r="K140" i="2"/>
  <c r="L139" i="2"/>
  <c r="K139" i="2"/>
  <c r="L138" i="2"/>
  <c r="K138" i="2"/>
  <c r="L137" i="2"/>
  <c r="K137" i="2"/>
  <c r="L136" i="2"/>
  <c r="K136" i="2"/>
  <c r="L135" i="2"/>
  <c r="K135" i="2"/>
  <c r="L134" i="2"/>
  <c r="K134" i="2"/>
  <c r="L133" i="2"/>
  <c r="K133" i="2"/>
  <c r="L132" i="2"/>
  <c r="K132" i="2"/>
  <c r="L131" i="2"/>
  <c r="K131" i="2"/>
  <c r="L130" i="2"/>
  <c r="K130" i="2"/>
  <c r="L129" i="2"/>
  <c r="K129" i="2"/>
  <c r="L128" i="2"/>
  <c r="K128" i="2"/>
  <c r="L127" i="2"/>
  <c r="K127" i="2"/>
  <c r="L126" i="2"/>
  <c r="K126" i="2"/>
  <c r="L125" i="2"/>
  <c r="K125" i="2"/>
  <c r="L124" i="2"/>
  <c r="K124" i="2"/>
  <c r="L123" i="2"/>
  <c r="K123" i="2"/>
  <c r="L122" i="2"/>
  <c r="K122" i="2"/>
  <c r="L121" i="2"/>
  <c r="K121" i="2"/>
  <c r="L120" i="2"/>
  <c r="K120" i="2"/>
  <c r="L119" i="2"/>
  <c r="K119" i="2"/>
  <c r="L118" i="2"/>
  <c r="K118" i="2"/>
  <c r="L117" i="2"/>
  <c r="K117" i="2"/>
  <c r="L116" i="2"/>
  <c r="K116" i="2"/>
  <c r="L115" i="2"/>
  <c r="K115" i="2"/>
  <c r="L114" i="2"/>
  <c r="K114" i="2"/>
  <c r="L113" i="2"/>
  <c r="K113" i="2"/>
  <c r="L112" i="2"/>
  <c r="K112" i="2"/>
  <c r="L111" i="2"/>
  <c r="K111" i="2"/>
  <c r="L110" i="2"/>
  <c r="K110" i="2"/>
  <c r="L109" i="2"/>
  <c r="K109" i="2"/>
  <c r="L108" i="2"/>
  <c r="K108" i="2"/>
  <c r="L107" i="2"/>
  <c r="K107" i="2"/>
  <c r="L106" i="2"/>
  <c r="K106" i="2"/>
  <c r="L105" i="2"/>
  <c r="K105" i="2"/>
  <c r="L104" i="2"/>
  <c r="K104" i="2"/>
  <c r="L103" i="2"/>
  <c r="K103" i="2"/>
  <c r="L102" i="2"/>
  <c r="K102" i="2"/>
  <c r="L101" i="2"/>
  <c r="K101" i="2"/>
  <c r="L100" i="2"/>
  <c r="K100" i="2"/>
  <c r="L99" i="2"/>
  <c r="K99" i="2"/>
  <c r="L98" i="2"/>
  <c r="K98" i="2"/>
  <c r="L97" i="2"/>
  <c r="K97" i="2"/>
  <c r="L96" i="2"/>
  <c r="K96" i="2"/>
  <c r="L95" i="2"/>
  <c r="K95" i="2"/>
  <c r="L94" i="2"/>
  <c r="K94" i="2"/>
  <c r="L93" i="2"/>
  <c r="K93" i="2"/>
  <c r="L92" i="2"/>
  <c r="K92" i="2"/>
  <c r="L91" i="2"/>
  <c r="K91" i="2"/>
  <c r="L90" i="2"/>
  <c r="K90" i="2"/>
  <c r="L89" i="2"/>
  <c r="K89" i="2"/>
  <c r="L88" i="2"/>
  <c r="K88" i="2"/>
  <c r="L87" i="2"/>
  <c r="K87" i="2"/>
  <c r="L86" i="2"/>
  <c r="K86" i="2"/>
  <c r="L85" i="2"/>
  <c r="K85" i="2"/>
  <c r="L84" i="2"/>
  <c r="K84" i="2"/>
  <c r="L83" i="2"/>
  <c r="K83" i="2"/>
  <c r="L82" i="2"/>
  <c r="K82" i="2"/>
  <c r="L81" i="2"/>
  <c r="K81" i="2"/>
  <c r="L80" i="2"/>
  <c r="K80" i="2"/>
  <c r="L79" i="2"/>
  <c r="K79" i="2"/>
  <c r="L78" i="2"/>
  <c r="K78" i="2"/>
  <c r="L77" i="2"/>
  <c r="K77" i="2"/>
  <c r="L76" i="2"/>
  <c r="K76" i="2"/>
  <c r="L75" i="2"/>
  <c r="K75" i="2"/>
  <c r="L74" i="2"/>
  <c r="K74" i="2"/>
  <c r="L73" i="2"/>
  <c r="K73" i="2"/>
  <c r="L72" i="2"/>
  <c r="K72" i="2"/>
  <c r="L71" i="2"/>
  <c r="K71" i="2"/>
  <c r="L70" i="2"/>
  <c r="K70" i="2"/>
  <c r="L69" i="2"/>
  <c r="K69" i="2"/>
  <c r="L68" i="2"/>
  <c r="K68" i="2"/>
  <c r="L67" i="2"/>
  <c r="K67" i="2"/>
  <c r="L66" i="2"/>
  <c r="K66" i="2"/>
  <c r="L65" i="2"/>
  <c r="K65" i="2"/>
  <c r="L64" i="2"/>
  <c r="K64" i="2"/>
  <c r="L63" i="2"/>
  <c r="K63" i="2"/>
  <c r="L62" i="2"/>
  <c r="K62" i="2"/>
  <c r="L61" i="2"/>
  <c r="K61" i="2"/>
  <c r="L60" i="2"/>
  <c r="K60" i="2"/>
  <c r="L59" i="2"/>
  <c r="K59" i="2"/>
  <c r="L58" i="2"/>
  <c r="K58" i="2"/>
  <c r="L57" i="2"/>
  <c r="K57" i="2"/>
  <c r="L56" i="2"/>
  <c r="K56" i="2"/>
  <c r="L55" i="2"/>
  <c r="K55" i="2"/>
  <c r="L54" i="2"/>
  <c r="K54" i="2"/>
  <c r="L53" i="2"/>
  <c r="K53" i="2"/>
  <c r="L52" i="2"/>
  <c r="K52" i="2"/>
  <c r="L51" i="2"/>
  <c r="K51" i="2"/>
  <c r="L50" i="2"/>
  <c r="K50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P4" i="2" s="1"/>
  <c r="K6" i="2"/>
  <c r="P2" i="2"/>
  <c r="BW318" i="1"/>
  <c r="BV318" i="1"/>
  <c r="BP318" i="1"/>
  <c r="BO318" i="1"/>
  <c r="BN318" i="1"/>
  <c r="BM318" i="1"/>
  <c r="BL318" i="1"/>
  <c r="BK318" i="1"/>
  <c r="BH318" i="1"/>
  <c r="BG318" i="1"/>
  <c r="BF318" i="1"/>
  <c r="BE318" i="1"/>
  <c r="BD318" i="1"/>
  <c r="BC318" i="1"/>
  <c r="BB318" i="1"/>
  <c r="BA318" i="1"/>
  <c r="AZ318" i="1"/>
  <c r="AY318" i="1"/>
  <c r="AX318" i="1"/>
  <c r="AW318" i="1"/>
  <c r="AV318" i="1"/>
  <c r="AU318" i="1"/>
  <c r="AT318" i="1"/>
  <c r="AS318" i="1"/>
  <c r="AR318" i="1"/>
  <c r="AQ318" i="1"/>
  <c r="AP318" i="1"/>
  <c r="AO318" i="1"/>
  <c r="AN318" i="1"/>
  <c r="AM318" i="1"/>
  <c r="AL318" i="1"/>
  <c r="AK318" i="1"/>
  <c r="AJ318" i="1"/>
  <c r="AI318" i="1"/>
  <c r="AH318" i="1"/>
  <c r="AG318" i="1"/>
  <c r="AF318" i="1"/>
  <c r="L318" i="1"/>
  <c r="K318" i="1"/>
  <c r="BW317" i="1"/>
  <c r="BV317" i="1"/>
  <c r="BP317" i="1"/>
  <c r="BO317" i="1"/>
  <c r="BN317" i="1"/>
  <c r="BM317" i="1"/>
  <c r="BL317" i="1"/>
  <c r="BK317" i="1"/>
  <c r="BH317" i="1"/>
  <c r="BG317" i="1"/>
  <c r="BF317" i="1"/>
  <c r="BE317" i="1"/>
  <c r="BD317" i="1"/>
  <c r="BC317" i="1"/>
  <c r="BB317" i="1"/>
  <c r="BA317" i="1"/>
  <c r="AZ317" i="1"/>
  <c r="AY317" i="1"/>
  <c r="AX317" i="1"/>
  <c r="AW317" i="1"/>
  <c r="AV317" i="1"/>
  <c r="AU317" i="1"/>
  <c r="AT317" i="1"/>
  <c r="AS317" i="1"/>
  <c r="AR317" i="1"/>
  <c r="AQ317" i="1"/>
  <c r="AP317" i="1"/>
  <c r="AO317" i="1"/>
  <c r="AN317" i="1"/>
  <c r="AM317" i="1"/>
  <c r="AL317" i="1"/>
  <c r="AK317" i="1"/>
  <c r="AJ317" i="1"/>
  <c r="AI317" i="1"/>
  <c r="AH317" i="1"/>
  <c r="AG317" i="1"/>
  <c r="AF317" i="1"/>
  <c r="L317" i="1"/>
  <c r="K317" i="1"/>
  <c r="BW316" i="1"/>
  <c r="BV316" i="1"/>
  <c r="BP316" i="1"/>
  <c r="BO316" i="1"/>
  <c r="BN316" i="1"/>
  <c r="BM316" i="1"/>
  <c r="BL316" i="1"/>
  <c r="BK316" i="1"/>
  <c r="BH316" i="1"/>
  <c r="BG316" i="1"/>
  <c r="BF316" i="1"/>
  <c r="BE316" i="1"/>
  <c r="BD316" i="1"/>
  <c r="BC316" i="1"/>
  <c r="BB316" i="1"/>
  <c r="BA316" i="1"/>
  <c r="AZ316" i="1"/>
  <c r="AY316" i="1"/>
  <c r="AX316" i="1"/>
  <c r="AW316" i="1"/>
  <c r="AV316" i="1"/>
  <c r="AU316" i="1"/>
  <c r="AT316" i="1"/>
  <c r="AS316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L316" i="1"/>
  <c r="K316" i="1"/>
  <c r="BW315" i="1"/>
  <c r="BV315" i="1"/>
  <c r="BP315" i="1"/>
  <c r="BO315" i="1"/>
  <c r="BN315" i="1"/>
  <c r="BM315" i="1"/>
  <c r="BL315" i="1"/>
  <c r="BK315" i="1"/>
  <c r="BH315" i="1"/>
  <c r="BG315" i="1"/>
  <c r="BF315" i="1"/>
  <c r="BE315" i="1"/>
  <c r="BD315" i="1"/>
  <c r="BC315" i="1"/>
  <c r="BB315" i="1"/>
  <c r="BA315" i="1"/>
  <c r="AZ315" i="1"/>
  <c r="AY315" i="1"/>
  <c r="AX315" i="1"/>
  <c r="AW315" i="1"/>
  <c r="AV315" i="1"/>
  <c r="AU315" i="1"/>
  <c r="AT315" i="1"/>
  <c r="AS315" i="1"/>
  <c r="AR315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L315" i="1"/>
  <c r="K315" i="1"/>
  <c r="BW314" i="1"/>
  <c r="BV314" i="1"/>
  <c r="BP314" i="1"/>
  <c r="BO314" i="1"/>
  <c r="BN314" i="1"/>
  <c r="BM314" i="1"/>
  <c r="BL314" i="1"/>
  <c r="BK314" i="1"/>
  <c r="BH314" i="1"/>
  <c r="BG314" i="1"/>
  <c r="BF314" i="1"/>
  <c r="BE314" i="1"/>
  <c r="BD314" i="1"/>
  <c r="BC314" i="1"/>
  <c r="BB314" i="1"/>
  <c r="BA314" i="1"/>
  <c r="AZ314" i="1"/>
  <c r="AY314" i="1"/>
  <c r="AX314" i="1"/>
  <c r="AW314" i="1"/>
  <c r="AV314" i="1"/>
  <c r="AU314" i="1"/>
  <c r="AT314" i="1"/>
  <c r="AS314" i="1"/>
  <c r="AR314" i="1"/>
  <c r="AQ314" i="1"/>
  <c r="AP314" i="1"/>
  <c r="AO314" i="1"/>
  <c r="AN314" i="1"/>
  <c r="AM314" i="1"/>
  <c r="AL314" i="1"/>
  <c r="AK314" i="1"/>
  <c r="AJ314" i="1"/>
  <c r="AI314" i="1"/>
  <c r="AH314" i="1"/>
  <c r="AG314" i="1"/>
  <c r="AF314" i="1"/>
  <c r="L314" i="1"/>
  <c r="K314" i="1"/>
  <c r="BX313" i="1"/>
  <c r="BW313" i="1"/>
  <c r="BV313" i="1"/>
  <c r="BP313" i="1"/>
  <c r="BO313" i="1"/>
  <c r="BN313" i="1"/>
  <c r="BM313" i="1"/>
  <c r="BL313" i="1"/>
  <c r="BK313" i="1"/>
  <c r="BH313" i="1"/>
  <c r="BG313" i="1"/>
  <c r="BF313" i="1"/>
  <c r="BE313" i="1"/>
  <c r="BD313" i="1"/>
  <c r="BC313" i="1"/>
  <c r="BB313" i="1"/>
  <c r="BA313" i="1"/>
  <c r="AZ313" i="1"/>
  <c r="AY313" i="1"/>
  <c r="AX313" i="1"/>
  <c r="AW313" i="1"/>
  <c r="AV313" i="1"/>
  <c r="AU313" i="1"/>
  <c r="AT313" i="1"/>
  <c r="AS313" i="1"/>
  <c r="AR313" i="1"/>
  <c r="AQ313" i="1"/>
  <c r="AP313" i="1"/>
  <c r="AO313" i="1"/>
  <c r="AN313" i="1"/>
  <c r="AM313" i="1"/>
  <c r="AL313" i="1"/>
  <c r="AK313" i="1"/>
  <c r="AJ313" i="1"/>
  <c r="AI313" i="1"/>
  <c r="AH313" i="1"/>
  <c r="AG313" i="1"/>
  <c r="AF313" i="1"/>
  <c r="L313" i="1"/>
  <c r="K313" i="1"/>
  <c r="BW312" i="1"/>
  <c r="BV312" i="1"/>
  <c r="BP312" i="1"/>
  <c r="BO312" i="1"/>
  <c r="BN312" i="1"/>
  <c r="BM312" i="1"/>
  <c r="BL312" i="1"/>
  <c r="BK312" i="1"/>
  <c r="BH312" i="1"/>
  <c r="BG312" i="1"/>
  <c r="BF312" i="1"/>
  <c r="BE312" i="1"/>
  <c r="BD312" i="1"/>
  <c r="BC312" i="1"/>
  <c r="BB312" i="1"/>
  <c r="BA312" i="1"/>
  <c r="AZ312" i="1"/>
  <c r="AY312" i="1"/>
  <c r="AX312" i="1"/>
  <c r="AW312" i="1"/>
  <c r="AV312" i="1"/>
  <c r="AU312" i="1"/>
  <c r="AT312" i="1"/>
  <c r="AS312" i="1"/>
  <c r="AR312" i="1"/>
  <c r="AQ312" i="1"/>
  <c r="AP312" i="1"/>
  <c r="AO312" i="1"/>
  <c r="AN312" i="1"/>
  <c r="AM312" i="1"/>
  <c r="AL312" i="1"/>
  <c r="AK312" i="1"/>
  <c r="AJ312" i="1"/>
  <c r="AI312" i="1"/>
  <c r="AH312" i="1"/>
  <c r="AG312" i="1"/>
  <c r="AF312" i="1"/>
  <c r="L312" i="1"/>
  <c r="K312" i="1"/>
  <c r="BW311" i="1"/>
  <c r="BV311" i="1"/>
  <c r="BP311" i="1"/>
  <c r="BO311" i="1"/>
  <c r="BN311" i="1"/>
  <c r="BM311" i="1"/>
  <c r="BL311" i="1"/>
  <c r="BK311" i="1"/>
  <c r="BH311" i="1"/>
  <c r="BG311" i="1"/>
  <c r="BF311" i="1"/>
  <c r="BE311" i="1"/>
  <c r="BD311" i="1"/>
  <c r="BC311" i="1"/>
  <c r="BB311" i="1"/>
  <c r="BA311" i="1"/>
  <c r="AZ311" i="1"/>
  <c r="AY311" i="1"/>
  <c r="AX311" i="1"/>
  <c r="AW311" i="1"/>
  <c r="AV311" i="1"/>
  <c r="AU311" i="1"/>
  <c r="AT311" i="1"/>
  <c r="AS311" i="1"/>
  <c r="AR311" i="1"/>
  <c r="AQ311" i="1"/>
  <c r="AP311" i="1"/>
  <c r="AO311" i="1"/>
  <c r="AN311" i="1"/>
  <c r="AM311" i="1"/>
  <c r="AL311" i="1"/>
  <c r="AK311" i="1"/>
  <c r="AJ311" i="1"/>
  <c r="AI311" i="1"/>
  <c r="AH311" i="1"/>
  <c r="AG311" i="1"/>
  <c r="AF311" i="1"/>
  <c r="L311" i="1"/>
  <c r="K311" i="1"/>
  <c r="BW310" i="1"/>
  <c r="BV310" i="1"/>
  <c r="BP310" i="1"/>
  <c r="BO310" i="1"/>
  <c r="BN310" i="1"/>
  <c r="BM310" i="1"/>
  <c r="BL310" i="1"/>
  <c r="BK310" i="1"/>
  <c r="BH310" i="1"/>
  <c r="BG310" i="1"/>
  <c r="BF310" i="1"/>
  <c r="BE310" i="1"/>
  <c r="BD310" i="1"/>
  <c r="BC310" i="1"/>
  <c r="BB310" i="1"/>
  <c r="BA310" i="1"/>
  <c r="AZ310" i="1"/>
  <c r="AY310" i="1"/>
  <c r="AX310" i="1"/>
  <c r="AW310" i="1"/>
  <c r="AV310" i="1"/>
  <c r="AU310" i="1"/>
  <c r="AT310" i="1"/>
  <c r="AS310" i="1"/>
  <c r="AR310" i="1"/>
  <c r="AQ310" i="1"/>
  <c r="AP310" i="1"/>
  <c r="AO310" i="1"/>
  <c r="AN310" i="1"/>
  <c r="AM310" i="1"/>
  <c r="AL310" i="1"/>
  <c r="AK310" i="1"/>
  <c r="AJ310" i="1"/>
  <c r="AI310" i="1"/>
  <c r="AH310" i="1"/>
  <c r="AG310" i="1"/>
  <c r="AF310" i="1"/>
  <c r="L310" i="1"/>
  <c r="K310" i="1"/>
  <c r="BW309" i="1"/>
  <c r="BV309" i="1"/>
  <c r="BP309" i="1"/>
  <c r="BO309" i="1"/>
  <c r="BN309" i="1"/>
  <c r="BM309" i="1"/>
  <c r="BL309" i="1"/>
  <c r="BK309" i="1"/>
  <c r="BH309" i="1"/>
  <c r="BG309" i="1"/>
  <c r="BF309" i="1"/>
  <c r="BE309" i="1"/>
  <c r="BD309" i="1"/>
  <c r="BC309" i="1"/>
  <c r="BB309" i="1"/>
  <c r="BA309" i="1"/>
  <c r="AZ309" i="1"/>
  <c r="AY309" i="1"/>
  <c r="AX309" i="1"/>
  <c r="AW309" i="1"/>
  <c r="AV309" i="1"/>
  <c r="AU309" i="1"/>
  <c r="AT309" i="1"/>
  <c r="AS309" i="1"/>
  <c r="AR309" i="1"/>
  <c r="AQ309" i="1"/>
  <c r="AP309" i="1"/>
  <c r="AO309" i="1"/>
  <c r="AN309" i="1"/>
  <c r="AM309" i="1"/>
  <c r="AL309" i="1"/>
  <c r="AK309" i="1"/>
  <c r="AJ309" i="1"/>
  <c r="AI309" i="1"/>
  <c r="AH309" i="1"/>
  <c r="AG309" i="1"/>
  <c r="AF309" i="1"/>
  <c r="L309" i="1"/>
  <c r="K309" i="1"/>
  <c r="BW308" i="1"/>
  <c r="BV308" i="1"/>
  <c r="BP308" i="1"/>
  <c r="BO308" i="1"/>
  <c r="BN308" i="1"/>
  <c r="BM308" i="1"/>
  <c r="BL308" i="1"/>
  <c r="BK308" i="1"/>
  <c r="BH308" i="1"/>
  <c r="BG308" i="1"/>
  <c r="BF308" i="1"/>
  <c r="BE308" i="1"/>
  <c r="BD308" i="1"/>
  <c r="BC308" i="1"/>
  <c r="BB308" i="1"/>
  <c r="BA308" i="1"/>
  <c r="AZ308" i="1"/>
  <c r="AY308" i="1"/>
  <c r="AX308" i="1"/>
  <c r="AW308" i="1"/>
  <c r="AV308" i="1"/>
  <c r="AU308" i="1"/>
  <c r="AT308" i="1"/>
  <c r="AS308" i="1"/>
  <c r="AR308" i="1"/>
  <c r="AQ308" i="1"/>
  <c r="AP308" i="1"/>
  <c r="AO308" i="1"/>
  <c r="AN308" i="1"/>
  <c r="AM308" i="1"/>
  <c r="AL308" i="1"/>
  <c r="AK308" i="1"/>
  <c r="AJ308" i="1"/>
  <c r="AI308" i="1"/>
  <c r="AH308" i="1"/>
  <c r="AG308" i="1"/>
  <c r="AF308" i="1"/>
  <c r="L308" i="1"/>
  <c r="K308" i="1"/>
  <c r="BW307" i="1"/>
  <c r="BV307" i="1"/>
  <c r="BP307" i="1"/>
  <c r="BO307" i="1"/>
  <c r="BN307" i="1"/>
  <c r="BM307" i="1"/>
  <c r="BL307" i="1"/>
  <c r="BK307" i="1"/>
  <c r="BH307" i="1"/>
  <c r="BG307" i="1"/>
  <c r="BF307" i="1"/>
  <c r="BE307" i="1"/>
  <c r="BD307" i="1"/>
  <c r="BC307" i="1"/>
  <c r="BB307" i="1"/>
  <c r="BA307" i="1"/>
  <c r="AZ307" i="1"/>
  <c r="AY307" i="1"/>
  <c r="AX307" i="1"/>
  <c r="AW307" i="1"/>
  <c r="AV307" i="1"/>
  <c r="AU307" i="1"/>
  <c r="AT307" i="1"/>
  <c r="AS307" i="1"/>
  <c r="AR307" i="1"/>
  <c r="AQ307" i="1"/>
  <c r="AP307" i="1"/>
  <c r="AO307" i="1"/>
  <c r="AN307" i="1"/>
  <c r="AM307" i="1"/>
  <c r="AL307" i="1"/>
  <c r="AK307" i="1"/>
  <c r="AJ307" i="1"/>
  <c r="AI307" i="1"/>
  <c r="AH307" i="1"/>
  <c r="AG307" i="1"/>
  <c r="AF307" i="1"/>
  <c r="L307" i="1"/>
  <c r="K307" i="1"/>
  <c r="BW306" i="1"/>
  <c r="BV306" i="1"/>
  <c r="BP306" i="1"/>
  <c r="BO306" i="1"/>
  <c r="BN306" i="1"/>
  <c r="BM306" i="1"/>
  <c r="BL306" i="1"/>
  <c r="BK306" i="1"/>
  <c r="BH306" i="1"/>
  <c r="BG306" i="1"/>
  <c r="BF306" i="1"/>
  <c r="BE306" i="1"/>
  <c r="BD306" i="1"/>
  <c r="BC306" i="1"/>
  <c r="BB306" i="1"/>
  <c r="BA306" i="1"/>
  <c r="AZ306" i="1"/>
  <c r="AY306" i="1"/>
  <c r="AX306" i="1"/>
  <c r="AW306" i="1"/>
  <c r="AV306" i="1"/>
  <c r="AU306" i="1"/>
  <c r="AT306" i="1"/>
  <c r="AS306" i="1"/>
  <c r="AR306" i="1"/>
  <c r="AQ306" i="1"/>
  <c r="AP306" i="1"/>
  <c r="AO306" i="1"/>
  <c r="AN306" i="1"/>
  <c r="AM306" i="1"/>
  <c r="AL306" i="1"/>
  <c r="AK306" i="1"/>
  <c r="AJ306" i="1"/>
  <c r="AI306" i="1"/>
  <c r="AH306" i="1"/>
  <c r="AG306" i="1"/>
  <c r="AF306" i="1"/>
  <c r="L306" i="1"/>
  <c r="K306" i="1"/>
  <c r="BW305" i="1"/>
  <c r="BV305" i="1"/>
  <c r="BP305" i="1"/>
  <c r="BO305" i="1"/>
  <c r="BN305" i="1"/>
  <c r="BM305" i="1"/>
  <c r="BL305" i="1"/>
  <c r="BK305" i="1"/>
  <c r="BH305" i="1"/>
  <c r="BG305" i="1"/>
  <c r="BF305" i="1"/>
  <c r="BE305" i="1"/>
  <c r="BD305" i="1"/>
  <c r="BC305" i="1"/>
  <c r="BB305" i="1"/>
  <c r="BA305" i="1"/>
  <c r="AZ305" i="1"/>
  <c r="AY305" i="1"/>
  <c r="AX305" i="1"/>
  <c r="AW305" i="1"/>
  <c r="AV305" i="1"/>
  <c r="AU305" i="1"/>
  <c r="AT305" i="1"/>
  <c r="AS305" i="1"/>
  <c r="AR305" i="1"/>
  <c r="AQ305" i="1"/>
  <c r="AP305" i="1"/>
  <c r="AO305" i="1"/>
  <c r="AN305" i="1"/>
  <c r="AM305" i="1"/>
  <c r="AL305" i="1"/>
  <c r="AK305" i="1"/>
  <c r="AJ305" i="1"/>
  <c r="AI305" i="1"/>
  <c r="AH305" i="1"/>
  <c r="AG305" i="1"/>
  <c r="AF305" i="1"/>
  <c r="L305" i="1"/>
  <c r="K305" i="1"/>
  <c r="BW304" i="1"/>
  <c r="BV304" i="1"/>
  <c r="BP304" i="1"/>
  <c r="BO304" i="1"/>
  <c r="BN304" i="1"/>
  <c r="BM304" i="1"/>
  <c r="BL304" i="1"/>
  <c r="BK304" i="1"/>
  <c r="BH304" i="1"/>
  <c r="BG304" i="1"/>
  <c r="BF304" i="1"/>
  <c r="BE304" i="1"/>
  <c r="BD304" i="1"/>
  <c r="BC304" i="1"/>
  <c r="BB304" i="1"/>
  <c r="BA304" i="1"/>
  <c r="AZ304" i="1"/>
  <c r="AY304" i="1"/>
  <c r="AX304" i="1"/>
  <c r="AW304" i="1"/>
  <c r="AV304" i="1"/>
  <c r="AU304" i="1"/>
  <c r="AT304" i="1"/>
  <c r="AS304" i="1"/>
  <c r="AR304" i="1"/>
  <c r="AQ304" i="1"/>
  <c r="AP304" i="1"/>
  <c r="AO304" i="1"/>
  <c r="AN304" i="1"/>
  <c r="AM304" i="1"/>
  <c r="AL304" i="1"/>
  <c r="AK304" i="1"/>
  <c r="AJ304" i="1"/>
  <c r="AI304" i="1"/>
  <c r="AH304" i="1"/>
  <c r="AG304" i="1"/>
  <c r="AF304" i="1"/>
  <c r="L304" i="1"/>
  <c r="K304" i="1"/>
  <c r="BW303" i="1"/>
  <c r="BV303" i="1"/>
  <c r="BP303" i="1"/>
  <c r="BO303" i="1"/>
  <c r="BN303" i="1"/>
  <c r="BM303" i="1"/>
  <c r="BL303" i="1"/>
  <c r="BK303" i="1"/>
  <c r="BH303" i="1"/>
  <c r="BG303" i="1"/>
  <c r="BF303" i="1"/>
  <c r="BE303" i="1"/>
  <c r="BD303" i="1"/>
  <c r="BC303" i="1"/>
  <c r="BB303" i="1"/>
  <c r="BA303" i="1"/>
  <c r="AZ303" i="1"/>
  <c r="AY303" i="1"/>
  <c r="AX303" i="1"/>
  <c r="AW303" i="1"/>
  <c r="AV303" i="1"/>
  <c r="AU303" i="1"/>
  <c r="AT303" i="1"/>
  <c r="AS303" i="1"/>
  <c r="AR303" i="1"/>
  <c r="AQ303" i="1"/>
  <c r="AP303" i="1"/>
  <c r="AO303" i="1"/>
  <c r="AN303" i="1"/>
  <c r="AM303" i="1"/>
  <c r="AL303" i="1"/>
  <c r="AK303" i="1"/>
  <c r="AJ303" i="1"/>
  <c r="AI303" i="1"/>
  <c r="AH303" i="1"/>
  <c r="AG303" i="1"/>
  <c r="AF303" i="1"/>
  <c r="L303" i="1"/>
  <c r="K303" i="1"/>
  <c r="BW302" i="1"/>
  <c r="BV302" i="1"/>
  <c r="BP302" i="1"/>
  <c r="BO302" i="1"/>
  <c r="BN302" i="1"/>
  <c r="BM302" i="1"/>
  <c r="BL302" i="1"/>
  <c r="BK302" i="1"/>
  <c r="BH302" i="1"/>
  <c r="BG302" i="1"/>
  <c r="BF302" i="1"/>
  <c r="BE302" i="1"/>
  <c r="BD302" i="1"/>
  <c r="BC302" i="1"/>
  <c r="BB302" i="1"/>
  <c r="BA302" i="1"/>
  <c r="AZ302" i="1"/>
  <c r="AY302" i="1"/>
  <c r="AX302" i="1"/>
  <c r="AW302" i="1"/>
  <c r="AV302" i="1"/>
  <c r="AU302" i="1"/>
  <c r="AT302" i="1"/>
  <c r="AS302" i="1"/>
  <c r="AR302" i="1"/>
  <c r="AQ302" i="1"/>
  <c r="AP302" i="1"/>
  <c r="AO302" i="1"/>
  <c r="AN302" i="1"/>
  <c r="AM302" i="1"/>
  <c r="AL302" i="1"/>
  <c r="AK302" i="1"/>
  <c r="AJ302" i="1"/>
  <c r="AI302" i="1"/>
  <c r="AH302" i="1"/>
  <c r="AG302" i="1"/>
  <c r="AF302" i="1"/>
  <c r="L302" i="1"/>
  <c r="K302" i="1"/>
  <c r="BW301" i="1"/>
  <c r="BV301" i="1"/>
  <c r="BP301" i="1"/>
  <c r="BO301" i="1"/>
  <c r="BN301" i="1"/>
  <c r="BM301" i="1"/>
  <c r="BL301" i="1"/>
  <c r="BK301" i="1"/>
  <c r="BH301" i="1"/>
  <c r="BG301" i="1"/>
  <c r="BF301" i="1"/>
  <c r="BE301" i="1"/>
  <c r="BD301" i="1"/>
  <c r="BC301" i="1"/>
  <c r="BB301" i="1"/>
  <c r="BA301" i="1"/>
  <c r="AZ301" i="1"/>
  <c r="AY301" i="1"/>
  <c r="AX301" i="1"/>
  <c r="AW301" i="1"/>
  <c r="AV301" i="1"/>
  <c r="AU301" i="1"/>
  <c r="AT301" i="1"/>
  <c r="AS301" i="1"/>
  <c r="AR301" i="1"/>
  <c r="AQ301" i="1"/>
  <c r="AP301" i="1"/>
  <c r="AO301" i="1"/>
  <c r="AN301" i="1"/>
  <c r="AM301" i="1"/>
  <c r="AL301" i="1"/>
  <c r="AK301" i="1"/>
  <c r="AJ301" i="1"/>
  <c r="AI301" i="1"/>
  <c r="AH301" i="1"/>
  <c r="AG301" i="1"/>
  <c r="AF301" i="1"/>
  <c r="L301" i="1"/>
  <c r="K301" i="1"/>
  <c r="BW300" i="1"/>
  <c r="BV300" i="1"/>
  <c r="BP300" i="1"/>
  <c r="BO300" i="1"/>
  <c r="BN300" i="1"/>
  <c r="BM300" i="1"/>
  <c r="BL300" i="1"/>
  <c r="BK300" i="1"/>
  <c r="BH300" i="1"/>
  <c r="BG300" i="1"/>
  <c r="BF300" i="1"/>
  <c r="BE300" i="1"/>
  <c r="BD300" i="1"/>
  <c r="BC300" i="1"/>
  <c r="BB300" i="1"/>
  <c r="BA300" i="1"/>
  <c r="AZ300" i="1"/>
  <c r="AY300" i="1"/>
  <c r="AX300" i="1"/>
  <c r="AW300" i="1"/>
  <c r="AV300" i="1"/>
  <c r="AU300" i="1"/>
  <c r="AT300" i="1"/>
  <c r="AS300" i="1"/>
  <c r="AR300" i="1"/>
  <c r="AQ300" i="1"/>
  <c r="AP300" i="1"/>
  <c r="AO300" i="1"/>
  <c r="AN300" i="1"/>
  <c r="AM300" i="1"/>
  <c r="AL300" i="1"/>
  <c r="AK300" i="1"/>
  <c r="AJ300" i="1"/>
  <c r="AI300" i="1"/>
  <c r="AH300" i="1"/>
  <c r="AG300" i="1"/>
  <c r="AF300" i="1"/>
  <c r="L300" i="1"/>
  <c r="K300" i="1"/>
  <c r="BP299" i="1"/>
  <c r="BO299" i="1"/>
  <c r="BN299" i="1"/>
  <c r="BM299" i="1"/>
  <c r="BL299" i="1"/>
  <c r="BK299" i="1"/>
  <c r="BH299" i="1"/>
  <c r="BG299" i="1"/>
  <c r="BF299" i="1"/>
  <c r="BE299" i="1"/>
  <c r="AL299" i="1"/>
  <c r="AK299" i="1"/>
  <c r="AJ299" i="1"/>
  <c r="AI299" i="1"/>
  <c r="AH299" i="1"/>
  <c r="AG299" i="1"/>
  <c r="AF299" i="1"/>
  <c r="L299" i="1"/>
  <c r="K299" i="1"/>
  <c r="BW298" i="1"/>
  <c r="BV298" i="1"/>
  <c r="BP298" i="1"/>
  <c r="BO298" i="1"/>
  <c r="BN298" i="1"/>
  <c r="BM298" i="1"/>
  <c r="BL298" i="1"/>
  <c r="BK298" i="1"/>
  <c r="BH298" i="1"/>
  <c r="BG298" i="1"/>
  <c r="BF298" i="1"/>
  <c r="BE298" i="1"/>
  <c r="BD298" i="1"/>
  <c r="BC298" i="1"/>
  <c r="BB298" i="1"/>
  <c r="BA298" i="1"/>
  <c r="AZ298" i="1"/>
  <c r="AY298" i="1"/>
  <c r="AX298" i="1"/>
  <c r="AW298" i="1"/>
  <c r="AV298" i="1"/>
  <c r="AU298" i="1"/>
  <c r="AT298" i="1"/>
  <c r="AS298" i="1"/>
  <c r="AR298" i="1"/>
  <c r="AQ298" i="1"/>
  <c r="AP298" i="1"/>
  <c r="AO298" i="1"/>
  <c r="AN298" i="1"/>
  <c r="AM298" i="1"/>
  <c r="AL298" i="1"/>
  <c r="AK298" i="1"/>
  <c r="AJ298" i="1"/>
  <c r="AI298" i="1"/>
  <c r="AH298" i="1"/>
  <c r="AG298" i="1"/>
  <c r="AF298" i="1"/>
  <c r="L298" i="1"/>
  <c r="K298" i="1"/>
  <c r="BW297" i="1"/>
  <c r="BV297" i="1"/>
  <c r="BP297" i="1"/>
  <c r="BO297" i="1"/>
  <c r="BN297" i="1"/>
  <c r="BM297" i="1"/>
  <c r="BL297" i="1"/>
  <c r="BK297" i="1"/>
  <c r="BH297" i="1"/>
  <c r="BG297" i="1"/>
  <c r="BF297" i="1"/>
  <c r="BE297" i="1"/>
  <c r="BD297" i="1"/>
  <c r="BC297" i="1"/>
  <c r="BB297" i="1"/>
  <c r="BA297" i="1"/>
  <c r="AZ297" i="1"/>
  <c r="AY297" i="1"/>
  <c r="AX297" i="1"/>
  <c r="AW297" i="1"/>
  <c r="AV297" i="1"/>
  <c r="AU297" i="1"/>
  <c r="AT297" i="1"/>
  <c r="AS297" i="1"/>
  <c r="AR297" i="1"/>
  <c r="AQ297" i="1"/>
  <c r="AP297" i="1"/>
  <c r="AO297" i="1"/>
  <c r="AN297" i="1"/>
  <c r="AM297" i="1"/>
  <c r="AL297" i="1"/>
  <c r="AK297" i="1"/>
  <c r="AJ297" i="1"/>
  <c r="AI297" i="1"/>
  <c r="AH297" i="1"/>
  <c r="AG297" i="1"/>
  <c r="AF297" i="1"/>
  <c r="L297" i="1"/>
  <c r="K297" i="1"/>
  <c r="BW296" i="1"/>
  <c r="BV296" i="1"/>
  <c r="BP296" i="1"/>
  <c r="BO296" i="1"/>
  <c r="BN296" i="1"/>
  <c r="BM296" i="1"/>
  <c r="BL296" i="1"/>
  <c r="BK296" i="1"/>
  <c r="BH296" i="1"/>
  <c r="BG296" i="1"/>
  <c r="BF296" i="1"/>
  <c r="BE296" i="1"/>
  <c r="BD296" i="1"/>
  <c r="BC296" i="1"/>
  <c r="BB296" i="1"/>
  <c r="BA296" i="1"/>
  <c r="AZ296" i="1"/>
  <c r="AY296" i="1"/>
  <c r="AX296" i="1"/>
  <c r="AW296" i="1"/>
  <c r="AV296" i="1"/>
  <c r="AU296" i="1"/>
  <c r="AT296" i="1"/>
  <c r="AS296" i="1"/>
  <c r="AR296" i="1"/>
  <c r="AQ296" i="1"/>
  <c r="AP296" i="1"/>
  <c r="AO296" i="1"/>
  <c r="AN296" i="1"/>
  <c r="AM296" i="1"/>
  <c r="AL296" i="1"/>
  <c r="AK296" i="1"/>
  <c r="AJ296" i="1"/>
  <c r="AI296" i="1"/>
  <c r="AH296" i="1"/>
  <c r="AG296" i="1"/>
  <c r="AF296" i="1"/>
  <c r="L296" i="1"/>
  <c r="K296" i="1"/>
  <c r="BW295" i="1"/>
  <c r="BV295" i="1"/>
  <c r="BP295" i="1"/>
  <c r="BO295" i="1"/>
  <c r="BN295" i="1"/>
  <c r="BM295" i="1"/>
  <c r="BL295" i="1"/>
  <c r="BK295" i="1"/>
  <c r="BH295" i="1"/>
  <c r="BG295" i="1"/>
  <c r="BF295" i="1"/>
  <c r="BE295" i="1"/>
  <c r="BD295" i="1"/>
  <c r="BC295" i="1"/>
  <c r="BB295" i="1"/>
  <c r="BA295" i="1"/>
  <c r="AZ295" i="1"/>
  <c r="AY295" i="1"/>
  <c r="AX295" i="1"/>
  <c r="AW295" i="1"/>
  <c r="AV295" i="1"/>
  <c r="AU295" i="1"/>
  <c r="AT295" i="1"/>
  <c r="AS295" i="1"/>
  <c r="AR295" i="1"/>
  <c r="AQ295" i="1"/>
  <c r="AP295" i="1"/>
  <c r="AO295" i="1"/>
  <c r="AN295" i="1"/>
  <c r="AM295" i="1"/>
  <c r="AL295" i="1"/>
  <c r="AK295" i="1"/>
  <c r="AJ295" i="1"/>
  <c r="AI295" i="1"/>
  <c r="AH295" i="1"/>
  <c r="AG295" i="1"/>
  <c r="AF295" i="1"/>
  <c r="L295" i="1"/>
  <c r="K295" i="1"/>
  <c r="BW294" i="1"/>
  <c r="BV294" i="1"/>
  <c r="BP294" i="1"/>
  <c r="BO294" i="1"/>
  <c r="BN294" i="1"/>
  <c r="BM294" i="1"/>
  <c r="BL294" i="1"/>
  <c r="BK294" i="1"/>
  <c r="BH294" i="1"/>
  <c r="BG294" i="1"/>
  <c r="BF294" i="1"/>
  <c r="BE294" i="1"/>
  <c r="BD294" i="1"/>
  <c r="BC294" i="1"/>
  <c r="BB294" i="1"/>
  <c r="BA294" i="1"/>
  <c r="AZ294" i="1"/>
  <c r="AY294" i="1"/>
  <c r="AX294" i="1"/>
  <c r="AW294" i="1"/>
  <c r="AV294" i="1"/>
  <c r="AU294" i="1"/>
  <c r="AT294" i="1"/>
  <c r="AS294" i="1"/>
  <c r="AR294" i="1"/>
  <c r="AQ294" i="1"/>
  <c r="AP294" i="1"/>
  <c r="AO294" i="1"/>
  <c r="AN294" i="1"/>
  <c r="AM294" i="1"/>
  <c r="AL294" i="1"/>
  <c r="AK294" i="1"/>
  <c r="AJ294" i="1"/>
  <c r="AI294" i="1"/>
  <c r="AH294" i="1"/>
  <c r="AG294" i="1"/>
  <c r="AF294" i="1"/>
  <c r="L294" i="1"/>
  <c r="K294" i="1"/>
  <c r="L293" i="1"/>
  <c r="K293" i="1"/>
  <c r="L292" i="1"/>
  <c r="K292" i="1"/>
  <c r="BW291" i="1"/>
  <c r="BX72" i="1" s="1"/>
  <c r="BV291" i="1"/>
  <c r="BP291" i="1"/>
  <c r="BO291" i="1"/>
  <c r="BN291" i="1"/>
  <c r="BM291" i="1"/>
  <c r="BL291" i="1"/>
  <c r="BK291" i="1"/>
  <c r="BH291" i="1"/>
  <c r="BG291" i="1"/>
  <c r="BF291" i="1"/>
  <c r="BE291" i="1"/>
  <c r="BD291" i="1"/>
  <c r="BC291" i="1"/>
  <c r="BB291" i="1"/>
  <c r="BA291" i="1"/>
  <c r="AZ291" i="1"/>
  <c r="AY291" i="1"/>
  <c r="AX291" i="1"/>
  <c r="AW291" i="1"/>
  <c r="AV291" i="1"/>
  <c r="AU291" i="1"/>
  <c r="AT291" i="1"/>
  <c r="AS291" i="1"/>
  <c r="AR291" i="1"/>
  <c r="AQ291" i="1"/>
  <c r="AP291" i="1"/>
  <c r="AO291" i="1"/>
  <c r="AN291" i="1"/>
  <c r="AM291" i="1"/>
  <c r="AL291" i="1"/>
  <c r="AK291" i="1"/>
  <c r="AJ291" i="1"/>
  <c r="AI291" i="1"/>
  <c r="AH291" i="1"/>
  <c r="AG291" i="1"/>
  <c r="AF291" i="1"/>
  <c r="L291" i="1"/>
  <c r="K291" i="1"/>
  <c r="BW290" i="1"/>
  <c r="BX73" i="1" s="1"/>
  <c r="BV290" i="1"/>
  <c r="BP290" i="1"/>
  <c r="BO290" i="1"/>
  <c r="BN290" i="1"/>
  <c r="BM290" i="1"/>
  <c r="BL290" i="1"/>
  <c r="BK290" i="1"/>
  <c r="BH290" i="1"/>
  <c r="BG290" i="1"/>
  <c r="BF290" i="1"/>
  <c r="BE290" i="1"/>
  <c r="BD290" i="1"/>
  <c r="BC290" i="1"/>
  <c r="BB290" i="1"/>
  <c r="BA290" i="1"/>
  <c r="AZ290" i="1"/>
  <c r="AY290" i="1"/>
  <c r="AX290" i="1"/>
  <c r="AW290" i="1"/>
  <c r="AV290" i="1"/>
  <c r="AU290" i="1"/>
  <c r="AT290" i="1"/>
  <c r="AS290" i="1"/>
  <c r="AR290" i="1"/>
  <c r="AQ290" i="1"/>
  <c r="AP290" i="1"/>
  <c r="AO290" i="1"/>
  <c r="AN290" i="1"/>
  <c r="AM290" i="1"/>
  <c r="AL290" i="1"/>
  <c r="AK290" i="1"/>
  <c r="AJ290" i="1"/>
  <c r="AI290" i="1"/>
  <c r="AH290" i="1"/>
  <c r="AG290" i="1"/>
  <c r="AF290" i="1"/>
  <c r="L290" i="1"/>
  <c r="K290" i="1"/>
  <c r="BW289" i="1"/>
  <c r="BX71" i="1" s="1"/>
  <c r="BV289" i="1"/>
  <c r="BP289" i="1"/>
  <c r="BO289" i="1"/>
  <c r="BN289" i="1"/>
  <c r="BM289" i="1"/>
  <c r="BL289" i="1"/>
  <c r="BK289" i="1"/>
  <c r="BH289" i="1"/>
  <c r="BG289" i="1"/>
  <c r="BF289" i="1"/>
  <c r="BE289" i="1"/>
  <c r="BD289" i="1"/>
  <c r="BC289" i="1"/>
  <c r="BB289" i="1"/>
  <c r="BA289" i="1"/>
  <c r="AZ289" i="1"/>
  <c r="AY289" i="1"/>
  <c r="AX289" i="1"/>
  <c r="AW289" i="1"/>
  <c r="AV289" i="1"/>
  <c r="AU289" i="1"/>
  <c r="AT289" i="1"/>
  <c r="AS289" i="1"/>
  <c r="AR289" i="1"/>
  <c r="AQ289" i="1"/>
  <c r="AP289" i="1"/>
  <c r="AO289" i="1"/>
  <c r="AN289" i="1"/>
  <c r="AM289" i="1"/>
  <c r="AL289" i="1"/>
  <c r="AK289" i="1"/>
  <c r="AJ289" i="1"/>
  <c r="AI289" i="1"/>
  <c r="AH289" i="1"/>
  <c r="AG289" i="1"/>
  <c r="AF289" i="1"/>
  <c r="L289" i="1"/>
  <c r="K289" i="1"/>
  <c r="BW288" i="1"/>
  <c r="BV288" i="1"/>
  <c r="BP288" i="1"/>
  <c r="BO288" i="1"/>
  <c r="BN288" i="1"/>
  <c r="BM288" i="1"/>
  <c r="BL288" i="1"/>
  <c r="BK288" i="1"/>
  <c r="BH288" i="1"/>
  <c r="BG288" i="1"/>
  <c r="BF288" i="1"/>
  <c r="BE288" i="1"/>
  <c r="BD288" i="1"/>
  <c r="BC288" i="1"/>
  <c r="BB288" i="1"/>
  <c r="BA288" i="1"/>
  <c r="AZ288" i="1"/>
  <c r="AY288" i="1"/>
  <c r="AX288" i="1"/>
  <c r="AW288" i="1"/>
  <c r="AV288" i="1"/>
  <c r="AU288" i="1"/>
  <c r="AT288" i="1"/>
  <c r="AS288" i="1"/>
  <c r="AL288" i="1"/>
  <c r="AK288" i="1"/>
  <c r="AJ288" i="1"/>
  <c r="AI288" i="1"/>
  <c r="AH288" i="1"/>
  <c r="AG288" i="1"/>
  <c r="AF288" i="1"/>
  <c r="L288" i="1"/>
  <c r="K288" i="1"/>
  <c r="BW287" i="1"/>
  <c r="BV287" i="1"/>
  <c r="BP287" i="1"/>
  <c r="BO287" i="1"/>
  <c r="BN287" i="1"/>
  <c r="BM287" i="1"/>
  <c r="BL287" i="1"/>
  <c r="BK287" i="1"/>
  <c r="BH287" i="1"/>
  <c r="BG287" i="1"/>
  <c r="BF287" i="1"/>
  <c r="BE287" i="1"/>
  <c r="BD287" i="1"/>
  <c r="BC287" i="1"/>
  <c r="BB287" i="1"/>
  <c r="BA287" i="1"/>
  <c r="AZ287" i="1"/>
  <c r="AY287" i="1"/>
  <c r="AX287" i="1"/>
  <c r="AW287" i="1"/>
  <c r="AV287" i="1"/>
  <c r="AU287" i="1"/>
  <c r="AT287" i="1"/>
  <c r="AS287" i="1"/>
  <c r="AR287" i="1"/>
  <c r="AQ287" i="1"/>
  <c r="AP287" i="1"/>
  <c r="AO287" i="1"/>
  <c r="AN287" i="1"/>
  <c r="AM287" i="1"/>
  <c r="AL287" i="1"/>
  <c r="AK287" i="1"/>
  <c r="AJ287" i="1"/>
  <c r="AI287" i="1"/>
  <c r="AH287" i="1"/>
  <c r="AG287" i="1"/>
  <c r="AF287" i="1"/>
  <c r="L287" i="1"/>
  <c r="K287" i="1"/>
  <c r="BW286" i="1"/>
  <c r="BV286" i="1"/>
  <c r="BP286" i="1"/>
  <c r="BO286" i="1"/>
  <c r="BN286" i="1"/>
  <c r="BM286" i="1"/>
  <c r="BL286" i="1"/>
  <c r="BK286" i="1"/>
  <c r="BH286" i="1"/>
  <c r="BG286" i="1"/>
  <c r="BF286" i="1"/>
  <c r="BE286" i="1"/>
  <c r="BD286" i="1"/>
  <c r="BC286" i="1"/>
  <c r="BB286" i="1"/>
  <c r="BA286" i="1"/>
  <c r="AZ286" i="1"/>
  <c r="AY286" i="1"/>
  <c r="AX286" i="1"/>
  <c r="AW286" i="1"/>
  <c r="AV286" i="1"/>
  <c r="AU286" i="1"/>
  <c r="AT286" i="1"/>
  <c r="AS286" i="1"/>
  <c r="AR286" i="1"/>
  <c r="AQ286" i="1"/>
  <c r="AP286" i="1"/>
  <c r="AO286" i="1"/>
  <c r="AN286" i="1"/>
  <c r="AM286" i="1"/>
  <c r="AL286" i="1"/>
  <c r="AK286" i="1"/>
  <c r="AJ286" i="1"/>
  <c r="AI286" i="1"/>
  <c r="AH286" i="1"/>
  <c r="AG286" i="1"/>
  <c r="AF286" i="1"/>
  <c r="L286" i="1"/>
  <c r="K286" i="1"/>
  <c r="BW285" i="1"/>
  <c r="BV285" i="1"/>
  <c r="BP285" i="1"/>
  <c r="BO285" i="1"/>
  <c r="BN285" i="1"/>
  <c r="BM285" i="1"/>
  <c r="BL285" i="1"/>
  <c r="BK285" i="1"/>
  <c r="BH285" i="1"/>
  <c r="BG285" i="1"/>
  <c r="BF285" i="1"/>
  <c r="BE285" i="1"/>
  <c r="BD285" i="1"/>
  <c r="BC285" i="1"/>
  <c r="BB285" i="1"/>
  <c r="BA285" i="1"/>
  <c r="AZ285" i="1"/>
  <c r="AY285" i="1"/>
  <c r="AX285" i="1"/>
  <c r="AW285" i="1"/>
  <c r="AV285" i="1"/>
  <c r="AU285" i="1"/>
  <c r="AT285" i="1"/>
  <c r="AS285" i="1"/>
  <c r="AR285" i="1"/>
  <c r="AQ285" i="1"/>
  <c r="AP285" i="1"/>
  <c r="AO285" i="1"/>
  <c r="AN285" i="1"/>
  <c r="AM285" i="1"/>
  <c r="AL285" i="1"/>
  <c r="AK285" i="1"/>
  <c r="AJ285" i="1"/>
  <c r="AI285" i="1"/>
  <c r="AH285" i="1"/>
  <c r="AG285" i="1"/>
  <c r="AF285" i="1"/>
  <c r="L285" i="1"/>
  <c r="K285" i="1"/>
  <c r="BW284" i="1"/>
  <c r="BV284" i="1"/>
  <c r="BP284" i="1"/>
  <c r="BO284" i="1"/>
  <c r="BN284" i="1"/>
  <c r="BM284" i="1"/>
  <c r="BL284" i="1"/>
  <c r="BK284" i="1"/>
  <c r="BH284" i="1"/>
  <c r="BG284" i="1"/>
  <c r="BF284" i="1"/>
  <c r="BE284" i="1"/>
  <c r="BD284" i="1"/>
  <c r="BC284" i="1"/>
  <c r="BB284" i="1"/>
  <c r="BA284" i="1"/>
  <c r="AZ284" i="1"/>
  <c r="AY284" i="1"/>
  <c r="AX284" i="1"/>
  <c r="AW284" i="1"/>
  <c r="AV284" i="1"/>
  <c r="AU284" i="1"/>
  <c r="AT284" i="1"/>
  <c r="AS284" i="1"/>
  <c r="AR284" i="1"/>
  <c r="AQ284" i="1"/>
  <c r="AP284" i="1"/>
  <c r="AO284" i="1"/>
  <c r="AN284" i="1"/>
  <c r="AM284" i="1"/>
  <c r="AL284" i="1"/>
  <c r="AK284" i="1"/>
  <c r="AJ284" i="1"/>
  <c r="AI284" i="1"/>
  <c r="AH284" i="1"/>
  <c r="AG284" i="1"/>
  <c r="AF284" i="1"/>
  <c r="L284" i="1"/>
  <c r="K284" i="1"/>
  <c r="BW283" i="1"/>
  <c r="BV283" i="1"/>
  <c r="BP283" i="1"/>
  <c r="BO283" i="1"/>
  <c r="BN283" i="1"/>
  <c r="BM283" i="1"/>
  <c r="BL283" i="1"/>
  <c r="BK283" i="1"/>
  <c r="BH283" i="1"/>
  <c r="BG283" i="1"/>
  <c r="BF283" i="1"/>
  <c r="BE283" i="1"/>
  <c r="BD283" i="1"/>
  <c r="BC283" i="1"/>
  <c r="BB283" i="1"/>
  <c r="BA283" i="1"/>
  <c r="AZ283" i="1"/>
  <c r="AY283" i="1"/>
  <c r="AX283" i="1"/>
  <c r="AW283" i="1"/>
  <c r="AV283" i="1"/>
  <c r="AU283" i="1"/>
  <c r="AT283" i="1"/>
  <c r="AS283" i="1"/>
  <c r="AR283" i="1"/>
  <c r="AQ283" i="1"/>
  <c r="AP283" i="1"/>
  <c r="AO283" i="1"/>
  <c r="AN283" i="1"/>
  <c r="AM283" i="1"/>
  <c r="AL283" i="1"/>
  <c r="AK283" i="1"/>
  <c r="AJ283" i="1"/>
  <c r="AI283" i="1"/>
  <c r="AH283" i="1"/>
  <c r="AG283" i="1"/>
  <c r="AF283" i="1"/>
  <c r="L283" i="1"/>
  <c r="K283" i="1"/>
  <c r="BW282" i="1"/>
  <c r="BV282" i="1"/>
  <c r="BP282" i="1"/>
  <c r="BO282" i="1"/>
  <c r="BN282" i="1"/>
  <c r="BM282" i="1"/>
  <c r="BL282" i="1"/>
  <c r="BK282" i="1"/>
  <c r="BH282" i="1"/>
  <c r="BG282" i="1"/>
  <c r="BF282" i="1"/>
  <c r="BE282" i="1"/>
  <c r="BD282" i="1"/>
  <c r="BC282" i="1"/>
  <c r="BB282" i="1"/>
  <c r="BA282" i="1"/>
  <c r="AZ282" i="1"/>
  <c r="AY282" i="1"/>
  <c r="AX282" i="1"/>
  <c r="AW282" i="1"/>
  <c r="AV282" i="1"/>
  <c r="AU282" i="1"/>
  <c r="AT282" i="1"/>
  <c r="AS282" i="1"/>
  <c r="AR282" i="1"/>
  <c r="AQ282" i="1"/>
  <c r="AP282" i="1"/>
  <c r="AO282" i="1"/>
  <c r="AN282" i="1"/>
  <c r="AM282" i="1"/>
  <c r="AL282" i="1"/>
  <c r="AK282" i="1"/>
  <c r="AJ282" i="1"/>
  <c r="AI282" i="1"/>
  <c r="AH282" i="1"/>
  <c r="AG282" i="1"/>
  <c r="AF282" i="1"/>
  <c r="L282" i="1"/>
  <c r="K282" i="1"/>
  <c r="BW281" i="1"/>
  <c r="BV281" i="1"/>
  <c r="BP281" i="1"/>
  <c r="BO281" i="1"/>
  <c r="BN281" i="1"/>
  <c r="BM281" i="1"/>
  <c r="BL281" i="1"/>
  <c r="BK281" i="1"/>
  <c r="BH281" i="1"/>
  <c r="BG281" i="1"/>
  <c r="BF281" i="1"/>
  <c r="BE281" i="1"/>
  <c r="BD281" i="1"/>
  <c r="BC281" i="1"/>
  <c r="BB281" i="1"/>
  <c r="BA281" i="1"/>
  <c r="AZ281" i="1"/>
  <c r="AY281" i="1"/>
  <c r="AX281" i="1"/>
  <c r="AW281" i="1"/>
  <c r="AV281" i="1"/>
  <c r="AU281" i="1"/>
  <c r="AT281" i="1"/>
  <c r="AS281" i="1"/>
  <c r="AR281" i="1"/>
  <c r="AQ281" i="1"/>
  <c r="AP281" i="1"/>
  <c r="AO281" i="1"/>
  <c r="AN281" i="1"/>
  <c r="AM281" i="1"/>
  <c r="AL281" i="1"/>
  <c r="AK281" i="1"/>
  <c r="AJ281" i="1"/>
  <c r="AI281" i="1"/>
  <c r="AH281" i="1"/>
  <c r="AG281" i="1"/>
  <c r="AF281" i="1"/>
  <c r="L281" i="1"/>
  <c r="K281" i="1"/>
  <c r="BW280" i="1"/>
  <c r="BV280" i="1"/>
  <c r="BP280" i="1"/>
  <c r="BO280" i="1"/>
  <c r="BN280" i="1"/>
  <c r="BM280" i="1"/>
  <c r="BL280" i="1"/>
  <c r="BK280" i="1"/>
  <c r="BH280" i="1"/>
  <c r="BG280" i="1"/>
  <c r="BF280" i="1"/>
  <c r="BE280" i="1"/>
  <c r="BD280" i="1"/>
  <c r="BC280" i="1"/>
  <c r="BB280" i="1"/>
  <c r="BA280" i="1"/>
  <c r="AZ280" i="1"/>
  <c r="AY280" i="1"/>
  <c r="AX280" i="1"/>
  <c r="AW280" i="1"/>
  <c r="AV280" i="1"/>
  <c r="AU280" i="1"/>
  <c r="AT280" i="1"/>
  <c r="AS280" i="1"/>
  <c r="AR280" i="1"/>
  <c r="AQ280" i="1"/>
  <c r="AP280" i="1"/>
  <c r="AO280" i="1"/>
  <c r="AN280" i="1"/>
  <c r="AM280" i="1"/>
  <c r="AL280" i="1"/>
  <c r="AK280" i="1"/>
  <c r="AJ280" i="1"/>
  <c r="AI280" i="1"/>
  <c r="AH280" i="1"/>
  <c r="AG280" i="1"/>
  <c r="AF280" i="1"/>
  <c r="L280" i="1"/>
  <c r="K280" i="1"/>
  <c r="BX279" i="1"/>
  <c r="BW279" i="1"/>
  <c r="BV279" i="1"/>
  <c r="BP279" i="1"/>
  <c r="BO279" i="1"/>
  <c r="BN279" i="1"/>
  <c r="BM279" i="1"/>
  <c r="BL279" i="1"/>
  <c r="BK279" i="1"/>
  <c r="BH279" i="1"/>
  <c r="BG279" i="1"/>
  <c r="BF279" i="1"/>
  <c r="BE279" i="1"/>
  <c r="BD279" i="1"/>
  <c r="BC279" i="1"/>
  <c r="BB279" i="1"/>
  <c r="BA279" i="1"/>
  <c r="AZ279" i="1"/>
  <c r="AY279" i="1"/>
  <c r="AX279" i="1"/>
  <c r="AW279" i="1"/>
  <c r="AV279" i="1"/>
  <c r="AU279" i="1"/>
  <c r="AT279" i="1"/>
  <c r="AS279" i="1"/>
  <c r="AR279" i="1"/>
  <c r="AQ279" i="1"/>
  <c r="AP279" i="1"/>
  <c r="AO279" i="1"/>
  <c r="AN279" i="1"/>
  <c r="AM279" i="1"/>
  <c r="AL279" i="1"/>
  <c r="AK279" i="1"/>
  <c r="AJ279" i="1"/>
  <c r="AI279" i="1"/>
  <c r="AH279" i="1"/>
  <c r="AG279" i="1"/>
  <c r="AF279" i="1"/>
  <c r="L279" i="1"/>
  <c r="K279" i="1"/>
  <c r="BW278" i="1"/>
  <c r="BV278" i="1"/>
  <c r="BP278" i="1"/>
  <c r="BO278" i="1"/>
  <c r="BN278" i="1"/>
  <c r="BM278" i="1"/>
  <c r="BL278" i="1"/>
  <c r="BK278" i="1"/>
  <c r="BH278" i="1"/>
  <c r="BG278" i="1"/>
  <c r="BF278" i="1"/>
  <c r="BE278" i="1"/>
  <c r="BD278" i="1"/>
  <c r="BC278" i="1"/>
  <c r="BB278" i="1"/>
  <c r="BA278" i="1"/>
  <c r="AZ278" i="1"/>
  <c r="AY278" i="1"/>
  <c r="AX278" i="1"/>
  <c r="AW278" i="1"/>
  <c r="AV278" i="1"/>
  <c r="AU278" i="1"/>
  <c r="AT278" i="1"/>
  <c r="AS278" i="1"/>
  <c r="AR278" i="1"/>
  <c r="AQ278" i="1"/>
  <c r="AP278" i="1"/>
  <c r="AO278" i="1"/>
  <c r="AN278" i="1"/>
  <c r="AM278" i="1"/>
  <c r="AL278" i="1"/>
  <c r="AK278" i="1"/>
  <c r="AJ278" i="1"/>
  <c r="AI278" i="1"/>
  <c r="AH278" i="1"/>
  <c r="AG278" i="1"/>
  <c r="AF278" i="1"/>
  <c r="L278" i="1"/>
  <c r="K278" i="1"/>
  <c r="BW277" i="1"/>
  <c r="BV277" i="1"/>
  <c r="BP277" i="1"/>
  <c r="BO277" i="1"/>
  <c r="BN277" i="1"/>
  <c r="BM277" i="1"/>
  <c r="BL277" i="1"/>
  <c r="BK277" i="1"/>
  <c r="BH277" i="1"/>
  <c r="BG277" i="1"/>
  <c r="BF277" i="1"/>
  <c r="BE277" i="1"/>
  <c r="BD277" i="1"/>
  <c r="BC277" i="1"/>
  <c r="BB277" i="1"/>
  <c r="BA277" i="1"/>
  <c r="AZ277" i="1"/>
  <c r="AY277" i="1"/>
  <c r="AX277" i="1"/>
  <c r="AW277" i="1"/>
  <c r="AV277" i="1"/>
  <c r="AU277" i="1"/>
  <c r="AT277" i="1"/>
  <c r="AS277" i="1"/>
  <c r="AR277" i="1"/>
  <c r="AQ277" i="1"/>
  <c r="AP277" i="1"/>
  <c r="AO277" i="1"/>
  <c r="AN277" i="1"/>
  <c r="AM277" i="1"/>
  <c r="AL277" i="1"/>
  <c r="AK277" i="1"/>
  <c r="AJ277" i="1"/>
  <c r="AI277" i="1"/>
  <c r="AH277" i="1"/>
  <c r="AG277" i="1"/>
  <c r="AF277" i="1"/>
  <c r="L277" i="1"/>
  <c r="K277" i="1"/>
  <c r="BW276" i="1"/>
  <c r="BV276" i="1"/>
  <c r="BP276" i="1"/>
  <c r="BO276" i="1"/>
  <c r="BN276" i="1"/>
  <c r="BM276" i="1"/>
  <c r="BL276" i="1"/>
  <c r="BK276" i="1"/>
  <c r="BH276" i="1"/>
  <c r="BG276" i="1"/>
  <c r="BF276" i="1"/>
  <c r="BE276" i="1"/>
  <c r="BD276" i="1"/>
  <c r="BC276" i="1"/>
  <c r="BB276" i="1"/>
  <c r="BA276" i="1"/>
  <c r="AZ276" i="1"/>
  <c r="AY276" i="1"/>
  <c r="AX276" i="1"/>
  <c r="AW276" i="1"/>
  <c r="AV276" i="1"/>
  <c r="AU276" i="1"/>
  <c r="AT276" i="1"/>
  <c r="AS276" i="1"/>
  <c r="AR276" i="1"/>
  <c r="AQ276" i="1"/>
  <c r="AP276" i="1"/>
  <c r="AO276" i="1"/>
  <c r="AN276" i="1"/>
  <c r="AM276" i="1"/>
  <c r="AL276" i="1"/>
  <c r="AK276" i="1"/>
  <c r="AJ276" i="1"/>
  <c r="AI276" i="1"/>
  <c r="AH276" i="1"/>
  <c r="AG276" i="1"/>
  <c r="AF276" i="1"/>
  <c r="L276" i="1"/>
  <c r="K276" i="1"/>
  <c r="BW275" i="1"/>
  <c r="BV275" i="1"/>
  <c r="BP275" i="1"/>
  <c r="BO275" i="1"/>
  <c r="BN275" i="1"/>
  <c r="BM275" i="1"/>
  <c r="BL275" i="1"/>
  <c r="BK275" i="1"/>
  <c r="BH275" i="1"/>
  <c r="BG275" i="1"/>
  <c r="BF275" i="1"/>
  <c r="BE275" i="1"/>
  <c r="BD275" i="1"/>
  <c r="BC275" i="1"/>
  <c r="BB275" i="1"/>
  <c r="BA275" i="1"/>
  <c r="AZ275" i="1"/>
  <c r="AY275" i="1"/>
  <c r="AX275" i="1"/>
  <c r="AW275" i="1"/>
  <c r="AV275" i="1"/>
  <c r="AU275" i="1"/>
  <c r="AT275" i="1"/>
  <c r="AS275" i="1"/>
  <c r="AR275" i="1"/>
  <c r="AQ275" i="1"/>
  <c r="AP275" i="1"/>
  <c r="AO275" i="1"/>
  <c r="AN275" i="1"/>
  <c r="AM275" i="1"/>
  <c r="AL275" i="1"/>
  <c r="AK275" i="1"/>
  <c r="AJ275" i="1"/>
  <c r="AI275" i="1"/>
  <c r="AH275" i="1"/>
  <c r="AG275" i="1"/>
  <c r="AF275" i="1"/>
  <c r="L275" i="1"/>
  <c r="K275" i="1"/>
  <c r="BW274" i="1"/>
  <c r="BV274" i="1"/>
  <c r="BP274" i="1"/>
  <c r="BO274" i="1"/>
  <c r="BN274" i="1"/>
  <c r="BM274" i="1"/>
  <c r="BL274" i="1"/>
  <c r="BK274" i="1"/>
  <c r="BH274" i="1"/>
  <c r="BG274" i="1"/>
  <c r="BF274" i="1"/>
  <c r="BE274" i="1"/>
  <c r="BD274" i="1"/>
  <c r="BC274" i="1"/>
  <c r="BB274" i="1"/>
  <c r="BA274" i="1"/>
  <c r="AZ274" i="1"/>
  <c r="AY274" i="1"/>
  <c r="AX274" i="1"/>
  <c r="AW274" i="1"/>
  <c r="AV274" i="1"/>
  <c r="AU274" i="1"/>
  <c r="AT274" i="1"/>
  <c r="AS274" i="1"/>
  <c r="AR274" i="1"/>
  <c r="AQ274" i="1"/>
  <c r="AP274" i="1"/>
  <c r="AO274" i="1"/>
  <c r="AN274" i="1"/>
  <c r="AM274" i="1"/>
  <c r="AL274" i="1"/>
  <c r="AK274" i="1"/>
  <c r="AJ274" i="1"/>
  <c r="AI274" i="1"/>
  <c r="AH274" i="1"/>
  <c r="AG274" i="1"/>
  <c r="AF274" i="1"/>
  <c r="L274" i="1"/>
  <c r="K274" i="1"/>
  <c r="BW273" i="1"/>
  <c r="BV273" i="1"/>
  <c r="BP273" i="1"/>
  <c r="BO273" i="1"/>
  <c r="BN273" i="1"/>
  <c r="BM273" i="1"/>
  <c r="BL273" i="1"/>
  <c r="BK273" i="1"/>
  <c r="BH273" i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L273" i="1"/>
  <c r="K273" i="1"/>
  <c r="BW272" i="1"/>
  <c r="BV272" i="1"/>
  <c r="BP272" i="1"/>
  <c r="BO272" i="1"/>
  <c r="BN272" i="1"/>
  <c r="BM272" i="1"/>
  <c r="BL272" i="1"/>
  <c r="BK272" i="1"/>
  <c r="BH272" i="1"/>
  <c r="BG272" i="1"/>
  <c r="BF272" i="1"/>
  <c r="BE272" i="1"/>
  <c r="BD272" i="1"/>
  <c r="BC272" i="1"/>
  <c r="BB272" i="1"/>
  <c r="BA272" i="1"/>
  <c r="AZ272" i="1"/>
  <c r="AY272" i="1"/>
  <c r="AX272" i="1"/>
  <c r="AW272" i="1"/>
  <c r="AV272" i="1"/>
  <c r="AU272" i="1"/>
  <c r="AT272" i="1"/>
  <c r="AS272" i="1"/>
  <c r="AR272" i="1"/>
  <c r="AQ272" i="1"/>
  <c r="AP272" i="1"/>
  <c r="AO272" i="1"/>
  <c r="AN272" i="1"/>
  <c r="AM272" i="1"/>
  <c r="AL272" i="1"/>
  <c r="AK272" i="1"/>
  <c r="AJ272" i="1"/>
  <c r="AI272" i="1"/>
  <c r="AH272" i="1"/>
  <c r="AG272" i="1"/>
  <c r="AF272" i="1"/>
  <c r="L272" i="1"/>
  <c r="K272" i="1"/>
  <c r="BW271" i="1"/>
  <c r="BV271" i="1"/>
  <c r="BP271" i="1"/>
  <c r="BO271" i="1"/>
  <c r="BN271" i="1"/>
  <c r="BM271" i="1"/>
  <c r="BL271" i="1"/>
  <c r="BK271" i="1"/>
  <c r="BH271" i="1"/>
  <c r="BG271" i="1"/>
  <c r="BF271" i="1"/>
  <c r="BE271" i="1"/>
  <c r="BD271" i="1"/>
  <c r="BC271" i="1"/>
  <c r="BB271" i="1"/>
  <c r="BA271" i="1"/>
  <c r="AZ271" i="1"/>
  <c r="AY271" i="1"/>
  <c r="AX271" i="1"/>
  <c r="AW271" i="1"/>
  <c r="AV271" i="1"/>
  <c r="AU271" i="1"/>
  <c r="AT271" i="1"/>
  <c r="AS271" i="1"/>
  <c r="AR271" i="1"/>
  <c r="AQ271" i="1"/>
  <c r="AP271" i="1"/>
  <c r="AO271" i="1"/>
  <c r="AN271" i="1"/>
  <c r="AM271" i="1"/>
  <c r="AL271" i="1"/>
  <c r="AK271" i="1"/>
  <c r="AJ271" i="1"/>
  <c r="AI271" i="1"/>
  <c r="AH271" i="1"/>
  <c r="AG271" i="1"/>
  <c r="AF271" i="1"/>
  <c r="L271" i="1"/>
  <c r="K271" i="1"/>
  <c r="BW270" i="1"/>
  <c r="BV270" i="1"/>
  <c r="BP270" i="1"/>
  <c r="BO270" i="1"/>
  <c r="BN270" i="1"/>
  <c r="BM270" i="1"/>
  <c r="BL270" i="1"/>
  <c r="BK270" i="1"/>
  <c r="BH270" i="1"/>
  <c r="BG270" i="1"/>
  <c r="BF270" i="1"/>
  <c r="BE270" i="1"/>
  <c r="BD270" i="1"/>
  <c r="BC270" i="1"/>
  <c r="BB270" i="1"/>
  <c r="BA270" i="1"/>
  <c r="AZ270" i="1"/>
  <c r="AY270" i="1"/>
  <c r="AX270" i="1"/>
  <c r="AW270" i="1"/>
  <c r="AV270" i="1"/>
  <c r="AU270" i="1"/>
  <c r="AT270" i="1"/>
  <c r="AS270" i="1"/>
  <c r="AL270" i="1"/>
  <c r="AK270" i="1"/>
  <c r="AJ270" i="1"/>
  <c r="AI270" i="1"/>
  <c r="AH270" i="1"/>
  <c r="AG270" i="1"/>
  <c r="AF270" i="1"/>
  <c r="L270" i="1"/>
  <c r="K270" i="1"/>
  <c r="BW269" i="1"/>
  <c r="BV269" i="1"/>
  <c r="BP269" i="1"/>
  <c r="BO269" i="1"/>
  <c r="BN269" i="1"/>
  <c r="BM269" i="1"/>
  <c r="BL269" i="1"/>
  <c r="BK269" i="1"/>
  <c r="BH269" i="1"/>
  <c r="BG269" i="1"/>
  <c r="BF269" i="1"/>
  <c r="BE269" i="1"/>
  <c r="BD269" i="1"/>
  <c r="BC269" i="1"/>
  <c r="BB269" i="1"/>
  <c r="BA269" i="1"/>
  <c r="AZ269" i="1"/>
  <c r="AY269" i="1"/>
  <c r="AX269" i="1"/>
  <c r="AW269" i="1"/>
  <c r="AV269" i="1"/>
  <c r="AU269" i="1"/>
  <c r="AT269" i="1"/>
  <c r="AS269" i="1"/>
  <c r="AL269" i="1"/>
  <c r="AK269" i="1"/>
  <c r="AJ269" i="1"/>
  <c r="AI269" i="1"/>
  <c r="AH269" i="1"/>
  <c r="AG269" i="1"/>
  <c r="AF269" i="1"/>
  <c r="L269" i="1"/>
  <c r="K269" i="1"/>
  <c r="BW268" i="1"/>
  <c r="BV268" i="1"/>
  <c r="BP268" i="1"/>
  <c r="BO268" i="1"/>
  <c r="BN268" i="1"/>
  <c r="BM268" i="1"/>
  <c r="BL268" i="1"/>
  <c r="BK268" i="1"/>
  <c r="BH268" i="1"/>
  <c r="BG268" i="1"/>
  <c r="BF268" i="1"/>
  <c r="BE268" i="1"/>
  <c r="BD268" i="1"/>
  <c r="BC268" i="1"/>
  <c r="BB268" i="1"/>
  <c r="BA268" i="1"/>
  <c r="AZ268" i="1"/>
  <c r="AY268" i="1"/>
  <c r="AX268" i="1"/>
  <c r="AW268" i="1"/>
  <c r="AV268" i="1"/>
  <c r="AU268" i="1"/>
  <c r="AT268" i="1"/>
  <c r="AS268" i="1"/>
  <c r="AR268" i="1"/>
  <c r="AQ268" i="1"/>
  <c r="AP268" i="1"/>
  <c r="AO268" i="1"/>
  <c r="AN268" i="1"/>
  <c r="AM268" i="1"/>
  <c r="AL268" i="1"/>
  <c r="AK268" i="1"/>
  <c r="AJ268" i="1"/>
  <c r="AI268" i="1"/>
  <c r="AH268" i="1"/>
  <c r="AG268" i="1"/>
  <c r="AF268" i="1"/>
  <c r="L268" i="1"/>
  <c r="K268" i="1"/>
  <c r="BW267" i="1"/>
  <c r="BV267" i="1"/>
  <c r="BP267" i="1"/>
  <c r="BO267" i="1"/>
  <c r="BN267" i="1"/>
  <c r="BM267" i="1"/>
  <c r="BL267" i="1"/>
  <c r="BK267" i="1"/>
  <c r="BH267" i="1"/>
  <c r="BG267" i="1"/>
  <c r="BF267" i="1"/>
  <c r="BE267" i="1"/>
  <c r="BD267" i="1"/>
  <c r="BC267" i="1"/>
  <c r="BB267" i="1"/>
  <c r="BA267" i="1"/>
  <c r="AZ267" i="1"/>
  <c r="AY267" i="1"/>
  <c r="AX267" i="1"/>
  <c r="AW267" i="1"/>
  <c r="AV267" i="1"/>
  <c r="AU267" i="1"/>
  <c r="AT267" i="1"/>
  <c r="AS267" i="1"/>
  <c r="AR267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L267" i="1"/>
  <c r="K267" i="1"/>
  <c r="BW266" i="1"/>
  <c r="BV266" i="1"/>
  <c r="BP266" i="1"/>
  <c r="BO266" i="1"/>
  <c r="BN266" i="1"/>
  <c r="BM266" i="1"/>
  <c r="BL266" i="1"/>
  <c r="BK266" i="1"/>
  <c r="BH266" i="1"/>
  <c r="BG266" i="1"/>
  <c r="BF266" i="1"/>
  <c r="BE266" i="1"/>
  <c r="BD266" i="1"/>
  <c r="BC266" i="1"/>
  <c r="BB266" i="1"/>
  <c r="BA266" i="1"/>
  <c r="AZ266" i="1"/>
  <c r="AY266" i="1"/>
  <c r="AX266" i="1"/>
  <c r="AW266" i="1"/>
  <c r="AV266" i="1"/>
  <c r="AU266" i="1"/>
  <c r="AT266" i="1"/>
  <c r="AS266" i="1"/>
  <c r="AR266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L266" i="1"/>
  <c r="K266" i="1"/>
  <c r="BW265" i="1"/>
  <c r="BV265" i="1"/>
  <c r="BP265" i="1"/>
  <c r="BO265" i="1"/>
  <c r="BN265" i="1"/>
  <c r="BM265" i="1"/>
  <c r="BL265" i="1"/>
  <c r="BK265" i="1"/>
  <c r="BH265" i="1"/>
  <c r="BG265" i="1"/>
  <c r="BF265" i="1"/>
  <c r="BE265" i="1"/>
  <c r="BD265" i="1"/>
  <c r="BC265" i="1"/>
  <c r="BB265" i="1"/>
  <c r="BA265" i="1"/>
  <c r="AZ265" i="1"/>
  <c r="AY265" i="1"/>
  <c r="AX265" i="1"/>
  <c r="AW265" i="1"/>
  <c r="AV265" i="1"/>
  <c r="AU265" i="1"/>
  <c r="AT265" i="1"/>
  <c r="AS265" i="1"/>
  <c r="AL265" i="1"/>
  <c r="AK265" i="1"/>
  <c r="AJ265" i="1"/>
  <c r="AI265" i="1"/>
  <c r="AH265" i="1"/>
  <c r="AG265" i="1"/>
  <c r="AF265" i="1"/>
  <c r="L265" i="1"/>
  <c r="K265" i="1"/>
  <c r="BW264" i="1"/>
  <c r="BV264" i="1"/>
  <c r="BP264" i="1"/>
  <c r="BO264" i="1"/>
  <c r="BN264" i="1"/>
  <c r="BM264" i="1"/>
  <c r="BL264" i="1"/>
  <c r="BK264" i="1"/>
  <c r="BH264" i="1"/>
  <c r="BG264" i="1"/>
  <c r="BF264" i="1"/>
  <c r="BE264" i="1"/>
  <c r="BD264" i="1"/>
  <c r="BC264" i="1"/>
  <c r="BB264" i="1"/>
  <c r="BA264" i="1"/>
  <c r="AZ264" i="1"/>
  <c r="AY264" i="1"/>
  <c r="AX264" i="1"/>
  <c r="AW264" i="1"/>
  <c r="AV264" i="1"/>
  <c r="AU264" i="1"/>
  <c r="AT264" i="1"/>
  <c r="AS264" i="1"/>
  <c r="AR264" i="1"/>
  <c r="AQ264" i="1"/>
  <c r="AP264" i="1"/>
  <c r="AO264" i="1"/>
  <c r="AN264" i="1"/>
  <c r="AM264" i="1"/>
  <c r="AL264" i="1"/>
  <c r="AK264" i="1"/>
  <c r="AJ264" i="1"/>
  <c r="AI264" i="1"/>
  <c r="AH264" i="1"/>
  <c r="AG264" i="1"/>
  <c r="AF264" i="1"/>
  <c r="L264" i="1"/>
  <c r="K264" i="1"/>
  <c r="BW263" i="1"/>
  <c r="BV263" i="1"/>
  <c r="BP263" i="1"/>
  <c r="BO263" i="1"/>
  <c r="BN263" i="1"/>
  <c r="BM263" i="1"/>
  <c r="BL263" i="1"/>
  <c r="BK263" i="1"/>
  <c r="BH263" i="1"/>
  <c r="BG263" i="1"/>
  <c r="BF263" i="1"/>
  <c r="BE263" i="1"/>
  <c r="BD263" i="1"/>
  <c r="BC263" i="1"/>
  <c r="BB263" i="1"/>
  <c r="BA263" i="1"/>
  <c r="AZ263" i="1"/>
  <c r="AY263" i="1"/>
  <c r="AX263" i="1"/>
  <c r="AW263" i="1"/>
  <c r="AV263" i="1"/>
  <c r="AU263" i="1"/>
  <c r="AT263" i="1"/>
  <c r="AS263" i="1"/>
  <c r="AR263" i="1"/>
  <c r="AQ263" i="1"/>
  <c r="AP263" i="1"/>
  <c r="AO263" i="1"/>
  <c r="AN263" i="1"/>
  <c r="AM263" i="1"/>
  <c r="AL263" i="1"/>
  <c r="AK263" i="1"/>
  <c r="AJ263" i="1"/>
  <c r="AI263" i="1"/>
  <c r="AH263" i="1"/>
  <c r="AG263" i="1"/>
  <c r="AF263" i="1"/>
  <c r="L263" i="1"/>
  <c r="K263" i="1"/>
  <c r="BW262" i="1"/>
  <c r="BV262" i="1"/>
  <c r="BP262" i="1"/>
  <c r="BO262" i="1"/>
  <c r="BN262" i="1"/>
  <c r="BM262" i="1"/>
  <c r="BL262" i="1"/>
  <c r="BK262" i="1"/>
  <c r="BH262" i="1"/>
  <c r="BG262" i="1"/>
  <c r="BF262" i="1"/>
  <c r="BE262" i="1"/>
  <c r="BD262" i="1"/>
  <c r="BC262" i="1"/>
  <c r="BB262" i="1"/>
  <c r="BA262" i="1"/>
  <c r="AZ262" i="1"/>
  <c r="AY262" i="1"/>
  <c r="AX262" i="1"/>
  <c r="AW262" i="1"/>
  <c r="AV262" i="1"/>
  <c r="AU262" i="1"/>
  <c r="AT262" i="1"/>
  <c r="AS262" i="1"/>
  <c r="AR262" i="1"/>
  <c r="AQ262" i="1"/>
  <c r="AP262" i="1"/>
  <c r="AO262" i="1"/>
  <c r="AN262" i="1"/>
  <c r="AM262" i="1"/>
  <c r="AL262" i="1"/>
  <c r="AK262" i="1"/>
  <c r="AJ262" i="1"/>
  <c r="AI262" i="1"/>
  <c r="AH262" i="1"/>
  <c r="AG262" i="1"/>
  <c r="AF262" i="1"/>
  <c r="L262" i="1"/>
  <c r="K262" i="1"/>
  <c r="BW261" i="1"/>
  <c r="BV261" i="1"/>
  <c r="BP261" i="1"/>
  <c r="BO261" i="1"/>
  <c r="BN261" i="1"/>
  <c r="BM261" i="1"/>
  <c r="BL261" i="1"/>
  <c r="BK261" i="1"/>
  <c r="BH261" i="1"/>
  <c r="BG261" i="1"/>
  <c r="BF261" i="1"/>
  <c r="BE261" i="1"/>
  <c r="BD261" i="1"/>
  <c r="BC261" i="1"/>
  <c r="BB261" i="1"/>
  <c r="BA261" i="1"/>
  <c r="AZ261" i="1"/>
  <c r="AY261" i="1"/>
  <c r="AX261" i="1"/>
  <c r="AW261" i="1"/>
  <c r="AV261" i="1"/>
  <c r="AU261" i="1"/>
  <c r="AT261" i="1"/>
  <c r="AS261" i="1"/>
  <c r="AR261" i="1"/>
  <c r="AQ261" i="1"/>
  <c r="AP261" i="1"/>
  <c r="AO261" i="1"/>
  <c r="AN261" i="1"/>
  <c r="AM261" i="1"/>
  <c r="AL261" i="1"/>
  <c r="AK261" i="1"/>
  <c r="AJ261" i="1"/>
  <c r="AI261" i="1"/>
  <c r="AH261" i="1"/>
  <c r="AG261" i="1"/>
  <c r="AF261" i="1"/>
  <c r="L261" i="1"/>
  <c r="K261" i="1"/>
  <c r="BW260" i="1"/>
  <c r="BV260" i="1"/>
  <c r="BP260" i="1"/>
  <c r="BO260" i="1"/>
  <c r="BN260" i="1"/>
  <c r="BM260" i="1"/>
  <c r="BL260" i="1"/>
  <c r="BK260" i="1"/>
  <c r="BH260" i="1"/>
  <c r="BG260" i="1"/>
  <c r="BF260" i="1"/>
  <c r="BE260" i="1"/>
  <c r="BD260" i="1"/>
  <c r="BC260" i="1"/>
  <c r="BB260" i="1"/>
  <c r="BA260" i="1"/>
  <c r="AZ260" i="1"/>
  <c r="AY260" i="1"/>
  <c r="AX260" i="1"/>
  <c r="AW260" i="1"/>
  <c r="AV260" i="1"/>
  <c r="AU260" i="1"/>
  <c r="AT260" i="1"/>
  <c r="AS260" i="1"/>
  <c r="AR260" i="1"/>
  <c r="AQ260" i="1"/>
  <c r="AP260" i="1"/>
  <c r="AO260" i="1"/>
  <c r="AN260" i="1"/>
  <c r="AM260" i="1"/>
  <c r="AL260" i="1"/>
  <c r="AK260" i="1"/>
  <c r="AJ260" i="1"/>
  <c r="AI260" i="1"/>
  <c r="AH260" i="1"/>
  <c r="AG260" i="1"/>
  <c r="AF260" i="1"/>
  <c r="L260" i="1"/>
  <c r="K260" i="1"/>
  <c r="BW259" i="1"/>
  <c r="BV259" i="1"/>
  <c r="BP259" i="1"/>
  <c r="BO259" i="1"/>
  <c r="BN259" i="1"/>
  <c r="BM259" i="1"/>
  <c r="BL259" i="1"/>
  <c r="BK259" i="1"/>
  <c r="BH259" i="1"/>
  <c r="BG259" i="1"/>
  <c r="BF259" i="1"/>
  <c r="BE259" i="1"/>
  <c r="BD259" i="1"/>
  <c r="BC259" i="1"/>
  <c r="BB259" i="1"/>
  <c r="BA259" i="1"/>
  <c r="AZ259" i="1"/>
  <c r="AY259" i="1"/>
  <c r="AX259" i="1"/>
  <c r="AW259" i="1"/>
  <c r="AV259" i="1"/>
  <c r="AU259" i="1"/>
  <c r="AT259" i="1"/>
  <c r="AS259" i="1"/>
  <c r="AR259" i="1"/>
  <c r="AQ259" i="1"/>
  <c r="AP259" i="1"/>
  <c r="AO259" i="1"/>
  <c r="AN259" i="1"/>
  <c r="AM259" i="1"/>
  <c r="AL259" i="1"/>
  <c r="AK259" i="1"/>
  <c r="AJ259" i="1"/>
  <c r="AI259" i="1"/>
  <c r="AH259" i="1"/>
  <c r="AG259" i="1"/>
  <c r="AF259" i="1"/>
  <c r="L259" i="1"/>
  <c r="K259" i="1"/>
  <c r="BW258" i="1"/>
  <c r="BV258" i="1"/>
  <c r="BP258" i="1"/>
  <c r="BO258" i="1"/>
  <c r="BN258" i="1"/>
  <c r="BM258" i="1"/>
  <c r="BL258" i="1"/>
  <c r="BK258" i="1"/>
  <c r="BH258" i="1"/>
  <c r="BG258" i="1"/>
  <c r="BF258" i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L258" i="1"/>
  <c r="K258" i="1"/>
  <c r="L257" i="1"/>
  <c r="K257" i="1"/>
  <c r="BW256" i="1"/>
  <c r="BV256" i="1"/>
  <c r="BP256" i="1"/>
  <c r="BO256" i="1"/>
  <c r="BN256" i="1"/>
  <c r="BM256" i="1"/>
  <c r="BL256" i="1"/>
  <c r="BK256" i="1"/>
  <c r="BH256" i="1"/>
  <c r="BG256" i="1"/>
  <c r="BF256" i="1"/>
  <c r="BE256" i="1"/>
  <c r="BD256" i="1"/>
  <c r="BC256" i="1"/>
  <c r="BB256" i="1"/>
  <c r="BA256" i="1"/>
  <c r="AZ256" i="1"/>
  <c r="AY256" i="1"/>
  <c r="AX256" i="1"/>
  <c r="AW256" i="1"/>
  <c r="AV256" i="1"/>
  <c r="AU256" i="1"/>
  <c r="AT256" i="1"/>
  <c r="AS256" i="1"/>
  <c r="AR256" i="1"/>
  <c r="AQ256" i="1"/>
  <c r="AP256" i="1"/>
  <c r="AO256" i="1"/>
  <c r="AN256" i="1"/>
  <c r="AM256" i="1"/>
  <c r="AL256" i="1"/>
  <c r="AK256" i="1"/>
  <c r="AJ256" i="1"/>
  <c r="AI256" i="1"/>
  <c r="AH256" i="1"/>
  <c r="AG256" i="1"/>
  <c r="AF256" i="1"/>
  <c r="L256" i="1"/>
  <c r="K256" i="1"/>
  <c r="BW255" i="1"/>
  <c r="BV255" i="1"/>
  <c r="BP255" i="1"/>
  <c r="BO255" i="1"/>
  <c r="BN255" i="1"/>
  <c r="BM255" i="1"/>
  <c r="BL255" i="1"/>
  <c r="BK255" i="1"/>
  <c r="BH255" i="1"/>
  <c r="BG255" i="1"/>
  <c r="BF255" i="1"/>
  <c r="BE255" i="1"/>
  <c r="BD255" i="1"/>
  <c r="BC255" i="1"/>
  <c r="BB255" i="1"/>
  <c r="BA255" i="1"/>
  <c r="AZ255" i="1"/>
  <c r="AY255" i="1"/>
  <c r="AX255" i="1"/>
  <c r="AW255" i="1"/>
  <c r="AV255" i="1"/>
  <c r="AU255" i="1"/>
  <c r="AT255" i="1"/>
  <c r="AS255" i="1"/>
  <c r="AR255" i="1"/>
  <c r="AQ255" i="1"/>
  <c r="AP255" i="1"/>
  <c r="AO255" i="1"/>
  <c r="AN255" i="1"/>
  <c r="AM255" i="1"/>
  <c r="AL255" i="1"/>
  <c r="AK255" i="1"/>
  <c r="AJ255" i="1"/>
  <c r="AI255" i="1"/>
  <c r="AH255" i="1"/>
  <c r="AG255" i="1"/>
  <c r="AF255" i="1"/>
  <c r="L255" i="1"/>
  <c r="K255" i="1"/>
  <c r="BW254" i="1"/>
  <c r="BV254" i="1"/>
  <c r="BP254" i="1"/>
  <c r="BO254" i="1"/>
  <c r="BN254" i="1"/>
  <c r="BM254" i="1"/>
  <c r="BL254" i="1"/>
  <c r="BK254" i="1"/>
  <c r="BH254" i="1"/>
  <c r="BG254" i="1"/>
  <c r="BF254" i="1"/>
  <c r="BE254" i="1"/>
  <c r="BD254" i="1"/>
  <c r="BC254" i="1"/>
  <c r="BB254" i="1"/>
  <c r="BA254" i="1"/>
  <c r="AZ254" i="1"/>
  <c r="AY254" i="1"/>
  <c r="AX254" i="1"/>
  <c r="AW254" i="1"/>
  <c r="AV254" i="1"/>
  <c r="AU254" i="1"/>
  <c r="AT254" i="1"/>
  <c r="AS254" i="1"/>
  <c r="AR254" i="1"/>
  <c r="AQ254" i="1"/>
  <c r="AP254" i="1"/>
  <c r="AO254" i="1"/>
  <c r="AN254" i="1"/>
  <c r="AM254" i="1"/>
  <c r="AL254" i="1"/>
  <c r="AK254" i="1"/>
  <c r="AJ254" i="1"/>
  <c r="AI254" i="1"/>
  <c r="AH254" i="1"/>
  <c r="AG254" i="1"/>
  <c r="AF254" i="1"/>
  <c r="L254" i="1"/>
  <c r="K254" i="1"/>
  <c r="BW253" i="1"/>
  <c r="BV253" i="1"/>
  <c r="BP253" i="1"/>
  <c r="BO253" i="1"/>
  <c r="BN253" i="1"/>
  <c r="BM253" i="1"/>
  <c r="BL253" i="1"/>
  <c r="BK253" i="1"/>
  <c r="BH253" i="1"/>
  <c r="BG253" i="1"/>
  <c r="BF253" i="1"/>
  <c r="BE253" i="1"/>
  <c r="BD253" i="1"/>
  <c r="BC253" i="1"/>
  <c r="BB253" i="1"/>
  <c r="BA253" i="1"/>
  <c r="AZ253" i="1"/>
  <c r="AY253" i="1"/>
  <c r="AX253" i="1"/>
  <c r="AW253" i="1"/>
  <c r="AV253" i="1"/>
  <c r="AU253" i="1"/>
  <c r="AT253" i="1"/>
  <c r="AS253" i="1"/>
  <c r="AR253" i="1"/>
  <c r="AQ253" i="1"/>
  <c r="AP253" i="1"/>
  <c r="AO253" i="1"/>
  <c r="AN253" i="1"/>
  <c r="AM253" i="1"/>
  <c r="AL253" i="1"/>
  <c r="AK253" i="1"/>
  <c r="AJ253" i="1"/>
  <c r="AI253" i="1"/>
  <c r="AH253" i="1"/>
  <c r="AG253" i="1"/>
  <c r="AF253" i="1"/>
  <c r="L253" i="1"/>
  <c r="K253" i="1"/>
  <c r="BW252" i="1"/>
  <c r="BV252" i="1"/>
  <c r="BP252" i="1"/>
  <c r="BO252" i="1"/>
  <c r="BN252" i="1"/>
  <c r="BM252" i="1"/>
  <c r="BL252" i="1"/>
  <c r="BK252" i="1"/>
  <c r="BH252" i="1"/>
  <c r="BG252" i="1"/>
  <c r="BF252" i="1"/>
  <c r="BE252" i="1"/>
  <c r="BD252" i="1"/>
  <c r="BC252" i="1"/>
  <c r="BB252" i="1"/>
  <c r="BA252" i="1"/>
  <c r="AZ252" i="1"/>
  <c r="AY252" i="1"/>
  <c r="AX252" i="1"/>
  <c r="AW252" i="1"/>
  <c r="AV252" i="1"/>
  <c r="AU252" i="1"/>
  <c r="AT252" i="1"/>
  <c r="AS252" i="1"/>
  <c r="AR252" i="1"/>
  <c r="AQ252" i="1"/>
  <c r="AP252" i="1"/>
  <c r="AO252" i="1"/>
  <c r="AN252" i="1"/>
  <c r="AM252" i="1"/>
  <c r="AL252" i="1"/>
  <c r="AK252" i="1"/>
  <c r="AJ252" i="1"/>
  <c r="AI252" i="1"/>
  <c r="AH252" i="1"/>
  <c r="AG252" i="1"/>
  <c r="AF252" i="1"/>
  <c r="L252" i="1"/>
  <c r="K252" i="1"/>
  <c r="BW251" i="1"/>
  <c r="BV251" i="1"/>
  <c r="BP251" i="1"/>
  <c r="BO251" i="1"/>
  <c r="BN251" i="1"/>
  <c r="BM251" i="1"/>
  <c r="BL251" i="1"/>
  <c r="BK251" i="1"/>
  <c r="BH251" i="1"/>
  <c r="BG251" i="1"/>
  <c r="BF251" i="1"/>
  <c r="BE251" i="1"/>
  <c r="BD251" i="1"/>
  <c r="BC251" i="1"/>
  <c r="BB251" i="1"/>
  <c r="BA251" i="1"/>
  <c r="AZ251" i="1"/>
  <c r="AY251" i="1"/>
  <c r="AX251" i="1"/>
  <c r="AW251" i="1"/>
  <c r="AV251" i="1"/>
  <c r="AU251" i="1"/>
  <c r="AT251" i="1"/>
  <c r="AS251" i="1"/>
  <c r="AR251" i="1"/>
  <c r="AQ251" i="1"/>
  <c r="AP251" i="1"/>
  <c r="AO251" i="1"/>
  <c r="AN251" i="1"/>
  <c r="AM251" i="1"/>
  <c r="AL251" i="1"/>
  <c r="AK251" i="1"/>
  <c r="AJ251" i="1"/>
  <c r="AI251" i="1"/>
  <c r="AH251" i="1"/>
  <c r="AG251" i="1"/>
  <c r="AF251" i="1"/>
  <c r="L251" i="1"/>
  <c r="K251" i="1"/>
  <c r="BW250" i="1"/>
  <c r="BV250" i="1"/>
  <c r="BP250" i="1"/>
  <c r="BO250" i="1"/>
  <c r="BN250" i="1"/>
  <c r="BM250" i="1"/>
  <c r="BL250" i="1"/>
  <c r="BK250" i="1"/>
  <c r="BH250" i="1"/>
  <c r="BG250" i="1"/>
  <c r="BF250" i="1"/>
  <c r="BE250" i="1"/>
  <c r="BD250" i="1"/>
  <c r="BC250" i="1"/>
  <c r="BB250" i="1"/>
  <c r="BA250" i="1"/>
  <c r="AZ250" i="1"/>
  <c r="AY250" i="1"/>
  <c r="AX250" i="1"/>
  <c r="AW250" i="1"/>
  <c r="AV250" i="1"/>
  <c r="AU250" i="1"/>
  <c r="AT250" i="1"/>
  <c r="AS250" i="1"/>
  <c r="AR250" i="1"/>
  <c r="AQ250" i="1"/>
  <c r="AP250" i="1"/>
  <c r="AO250" i="1"/>
  <c r="AN250" i="1"/>
  <c r="AM250" i="1"/>
  <c r="AL250" i="1"/>
  <c r="AK250" i="1"/>
  <c r="AJ250" i="1"/>
  <c r="AI250" i="1"/>
  <c r="AH250" i="1"/>
  <c r="AG250" i="1"/>
  <c r="AF250" i="1"/>
  <c r="L250" i="1"/>
  <c r="K250" i="1"/>
  <c r="BW249" i="1"/>
  <c r="BV249" i="1"/>
  <c r="BP249" i="1"/>
  <c r="BO249" i="1"/>
  <c r="BN249" i="1"/>
  <c r="BM249" i="1"/>
  <c r="BL249" i="1"/>
  <c r="BK249" i="1"/>
  <c r="BH249" i="1"/>
  <c r="BG249" i="1"/>
  <c r="BF249" i="1"/>
  <c r="BE249" i="1"/>
  <c r="BD249" i="1"/>
  <c r="BC249" i="1"/>
  <c r="BB249" i="1"/>
  <c r="BA249" i="1"/>
  <c r="AZ249" i="1"/>
  <c r="AY249" i="1"/>
  <c r="AX249" i="1"/>
  <c r="AW249" i="1"/>
  <c r="AV249" i="1"/>
  <c r="AU249" i="1"/>
  <c r="AT249" i="1"/>
  <c r="AS249" i="1"/>
  <c r="AR249" i="1"/>
  <c r="AQ249" i="1"/>
  <c r="AP249" i="1"/>
  <c r="AO249" i="1"/>
  <c r="AN249" i="1"/>
  <c r="AM249" i="1"/>
  <c r="AL249" i="1"/>
  <c r="AK249" i="1"/>
  <c r="AJ249" i="1"/>
  <c r="AI249" i="1"/>
  <c r="AH249" i="1"/>
  <c r="AG249" i="1"/>
  <c r="AF249" i="1"/>
  <c r="L249" i="1"/>
  <c r="K249" i="1"/>
  <c r="BW248" i="1"/>
  <c r="BV248" i="1"/>
  <c r="BP248" i="1"/>
  <c r="BO248" i="1"/>
  <c r="BN248" i="1"/>
  <c r="BM248" i="1"/>
  <c r="BL248" i="1"/>
  <c r="BK248" i="1"/>
  <c r="BH248" i="1"/>
  <c r="BG248" i="1"/>
  <c r="BF248" i="1"/>
  <c r="BE248" i="1"/>
  <c r="BD248" i="1"/>
  <c r="BC248" i="1"/>
  <c r="BB248" i="1"/>
  <c r="BA248" i="1"/>
  <c r="AZ248" i="1"/>
  <c r="AY248" i="1"/>
  <c r="AX248" i="1"/>
  <c r="AW248" i="1"/>
  <c r="AV248" i="1"/>
  <c r="AU248" i="1"/>
  <c r="AT248" i="1"/>
  <c r="AS248" i="1"/>
  <c r="AR248" i="1"/>
  <c r="AQ248" i="1"/>
  <c r="AP248" i="1"/>
  <c r="AO248" i="1"/>
  <c r="AN248" i="1"/>
  <c r="AM248" i="1"/>
  <c r="AL248" i="1"/>
  <c r="AK248" i="1"/>
  <c r="AJ248" i="1"/>
  <c r="AI248" i="1"/>
  <c r="AH248" i="1"/>
  <c r="AG248" i="1"/>
  <c r="AF248" i="1"/>
  <c r="L248" i="1"/>
  <c r="K248" i="1"/>
  <c r="BW247" i="1"/>
  <c r="BV247" i="1"/>
  <c r="BP247" i="1"/>
  <c r="BO247" i="1"/>
  <c r="BN247" i="1"/>
  <c r="BM247" i="1"/>
  <c r="BL247" i="1"/>
  <c r="BK247" i="1"/>
  <c r="BH247" i="1"/>
  <c r="BG247" i="1"/>
  <c r="BF247" i="1"/>
  <c r="BE247" i="1"/>
  <c r="BD247" i="1"/>
  <c r="BC247" i="1"/>
  <c r="BB247" i="1"/>
  <c r="BA247" i="1"/>
  <c r="AZ247" i="1"/>
  <c r="AY247" i="1"/>
  <c r="AX247" i="1"/>
  <c r="AW247" i="1"/>
  <c r="AV247" i="1"/>
  <c r="AU247" i="1"/>
  <c r="AT247" i="1"/>
  <c r="AS247" i="1"/>
  <c r="AR247" i="1"/>
  <c r="AQ247" i="1"/>
  <c r="AP247" i="1"/>
  <c r="AO247" i="1"/>
  <c r="AN247" i="1"/>
  <c r="AM247" i="1"/>
  <c r="AL247" i="1"/>
  <c r="AK247" i="1"/>
  <c r="AJ247" i="1"/>
  <c r="AI247" i="1"/>
  <c r="AH247" i="1"/>
  <c r="AG247" i="1"/>
  <c r="AF247" i="1"/>
  <c r="L247" i="1"/>
  <c r="K247" i="1"/>
  <c r="BW246" i="1"/>
  <c r="BV246" i="1"/>
  <c r="BP246" i="1"/>
  <c r="BO246" i="1"/>
  <c r="BN246" i="1"/>
  <c r="BM246" i="1"/>
  <c r="BL246" i="1"/>
  <c r="BK246" i="1"/>
  <c r="BH246" i="1"/>
  <c r="BG246" i="1"/>
  <c r="BF246" i="1"/>
  <c r="BE246" i="1"/>
  <c r="BD246" i="1"/>
  <c r="BC246" i="1"/>
  <c r="BB246" i="1"/>
  <c r="BA246" i="1"/>
  <c r="AZ246" i="1"/>
  <c r="AY246" i="1"/>
  <c r="AX246" i="1"/>
  <c r="AW246" i="1"/>
  <c r="AV246" i="1"/>
  <c r="AU246" i="1"/>
  <c r="AT246" i="1"/>
  <c r="AS246" i="1"/>
  <c r="AR246" i="1"/>
  <c r="AQ246" i="1"/>
  <c r="AP246" i="1"/>
  <c r="AO246" i="1"/>
  <c r="AN246" i="1"/>
  <c r="AM246" i="1"/>
  <c r="AL246" i="1"/>
  <c r="AK246" i="1"/>
  <c r="AJ246" i="1"/>
  <c r="AI246" i="1"/>
  <c r="AH246" i="1"/>
  <c r="AG246" i="1"/>
  <c r="AF246" i="1"/>
  <c r="L246" i="1"/>
  <c r="K246" i="1"/>
  <c r="BW245" i="1"/>
  <c r="BV245" i="1"/>
  <c r="BP245" i="1"/>
  <c r="BO245" i="1"/>
  <c r="BN245" i="1"/>
  <c r="BM245" i="1"/>
  <c r="BL245" i="1"/>
  <c r="BK245" i="1"/>
  <c r="BH245" i="1"/>
  <c r="BG245" i="1"/>
  <c r="BF245" i="1"/>
  <c r="BE245" i="1"/>
  <c r="BD245" i="1"/>
  <c r="BC245" i="1"/>
  <c r="BB245" i="1"/>
  <c r="BA245" i="1"/>
  <c r="AZ245" i="1"/>
  <c r="AY245" i="1"/>
  <c r="AX245" i="1"/>
  <c r="AW245" i="1"/>
  <c r="AV245" i="1"/>
  <c r="AU245" i="1"/>
  <c r="AT245" i="1"/>
  <c r="AS245" i="1"/>
  <c r="AR245" i="1"/>
  <c r="AQ245" i="1"/>
  <c r="AP245" i="1"/>
  <c r="AO245" i="1"/>
  <c r="AN245" i="1"/>
  <c r="AM245" i="1"/>
  <c r="AL245" i="1"/>
  <c r="AK245" i="1"/>
  <c r="AJ245" i="1"/>
  <c r="AI245" i="1"/>
  <c r="AH245" i="1"/>
  <c r="AG245" i="1"/>
  <c r="AF245" i="1"/>
  <c r="L245" i="1"/>
  <c r="K245" i="1"/>
  <c r="BW244" i="1"/>
  <c r="BV244" i="1"/>
  <c r="BP244" i="1"/>
  <c r="BO244" i="1"/>
  <c r="BN244" i="1"/>
  <c r="BM244" i="1"/>
  <c r="BL244" i="1"/>
  <c r="BK244" i="1"/>
  <c r="BH244" i="1"/>
  <c r="BG244" i="1"/>
  <c r="BF244" i="1"/>
  <c r="BE244" i="1"/>
  <c r="BD244" i="1"/>
  <c r="BC244" i="1"/>
  <c r="BB244" i="1"/>
  <c r="BA244" i="1"/>
  <c r="AZ244" i="1"/>
  <c r="AY244" i="1"/>
  <c r="AX244" i="1"/>
  <c r="AW244" i="1"/>
  <c r="AV244" i="1"/>
  <c r="AU244" i="1"/>
  <c r="AT244" i="1"/>
  <c r="AS244" i="1"/>
  <c r="AR244" i="1"/>
  <c r="AQ244" i="1"/>
  <c r="AP244" i="1"/>
  <c r="AO244" i="1"/>
  <c r="AN244" i="1"/>
  <c r="AM244" i="1"/>
  <c r="AL244" i="1"/>
  <c r="AK244" i="1"/>
  <c r="AJ244" i="1"/>
  <c r="AI244" i="1"/>
  <c r="AH244" i="1"/>
  <c r="AG244" i="1"/>
  <c r="AF244" i="1"/>
  <c r="L244" i="1"/>
  <c r="K244" i="1"/>
  <c r="BW243" i="1"/>
  <c r="BV243" i="1"/>
  <c r="BP243" i="1"/>
  <c r="BO243" i="1"/>
  <c r="BN243" i="1"/>
  <c r="BM243" i="1"/>
  <c r="BL243" i="1"/>
  <c r="BK243" i="1"/>
  <c r="BH243" i="1"/>
  <c r="BG243" i="1"/>
  <c r="BF243" i="1"/>
  <c r="BE243" i="1"/>
  <c r="BD243" i="1"/>
  <c r="BC243" i="1"/>
  <c r="BB243" i="1"/>
  <c r="BA243" i="1"/>
  <c r="AZ243" i="1"/>
  <c r="AY243" i="1"/>
  <c r="AX243" i="1"/>
  <c r="AW243" i="1"/>
  <c r="AV243" i="1"/>
  <c r="AU243" i="1"/>
  <c r="AT243" i="1"/>
  <c r="AS243" i="1"/>
  <c r="AR243" i="1"/>
  <c r="AQ243" i="1"/>
  <c r="AP243" i="1"/>
  <c r="AO243" i="1"/>
  <c r="AN243" i="1"/>
  <c r="AM243" i="1"/>
  <c r="AL243" i="1"/>
  <c r="AK243" i="1"/>
  <c r="AJ243" i="1"/>
  <c r="AI243" i="1"/>
  <c r="AH243" i="1"/>
  <c r="AG243" i="1"/>
  <c r="AF243" i="1"/>
  <c r="L243" i="1"/>
  <c r="K243" i="1"/>
  <c r="BW242" i="1"/>
  <c r="BV242" i="1"/>
  <c r="BP242" i="1"/>
  <c r="BO242" i="1"/>
  <c r="BN242" i="1"/>
  <c r="BM242" i="1"/>
  <c r="BL242" i="1"/>
  <c r="BK242" i="1"/>
  <c r="BH242" i="1"/>
  <c r="BG242" i="1"/>
  <c r="BF242" i="1"/>
  <c r="BE242" i="1"/>
  <c r="BD242" i="1"/>
  <c r="BC242" i="1"/>
  <c r="BB242" i="1"/>
  <c r="BA242" i="1"/>
  <c r="AZ242" i="1"/>
  <c r="AY242" i="1"/>
  <c r="AX242" i="1"/>
  <c r="AW242" i="1"/>
  <c r="AV242" i="1"/>
  <c r="AU242" i="1"/>
  <c r="AT242" i="1"/>
  <c r="AS242" i="1"/>
  <c r="AR242" i="1"/>
  <c r="AQ242" i="1"/>
  <c r="AP242" i="1"/>
  <c r="AO242" i="1"/>
  <c r="AN242" i="1"/>
  <c r="AM242" i="1"/>
  <c r="AL242" i="1"/>
  <c r="AK242" i="1"/>
  <c r="AJ242" i="1"/>
  <c r="AI242" i="1"/>
  <c r="AH242" i="1"/>
  <c r="AG242" i="1"/>
  <c r="AF242" i="1"/>
  <c r="L242" i="1"/>
  <c r="K242" i="1"/>
  <c r="BW241" i="1"/>
  <c r="BV241" i="1"/>
  <c r="BP241" i="1"/>
  <c r="BO241" i="1"/>
  <c r="BN241" i="1"/>
  <c r="BM241" i="1"/>
  <c r="BL241" i="1"/>
  <c r="BK241" i="1"/>
  <c r="BH241" i="1"/>
  <c r="BG241" i="1"/>
  <c r="BF241" i="1"/>
  <c r="BE241" i="1"/>
  <c r="BD241" i="1"/>
  <c r="BC241" i="1"/>
  <c r="BB241" i="1"/>
  <c r="BA241" i="1"/>
  <c r="AZ241" i="1"/>
  <c r="AY241" i="1"/>
  <c r="AX241" i="1"/>
  <c r="AW241" i="1"/>
  <c r="AV241" i="1"/>
  <c r="AU241" i="1"/>
  <c r="AT241" i="1"/>
  <c r="AS241" i="1"/>
  <c r="AR241" i="1"/>
  <c r="AQ241" i="1"/>
  <c r="AP241" i="1"/>
  <c r="AO241" i="1"/>
  <c r="AN241" i="1"/>
  <c r="AM241" i="1"/>
  <c r="AL241" i="1"/>
  <c r="AK241" i="1"/>
  <c r="AJ241" i="1"/>
  <c r="AI241" i="1"/>
  <c r="AH241" i="1"/>
  <c r="AG241" i="1"/>
  <c r="AF241" i="1"/>
  <c r="L241" i="1"/>
  <c r="K241" i="1"/>
  <c r="BW240" i="1"/>
  <c r="BV240" i="1"/>
  <c r="BP240" i="1"/>
  <c r="BO240" i="1"/>
  <c r="BN240" i="1"/>
  <c r="BM240" i="1"/>
  <c r="BL240" i="1"/>
  <c r="BK240" i="1"/>
  <c r="BH240" i="1"/>
  <c r="BG240" i="1"/>
  <c r="BF240" i="1"/>
  <c r="BE240" i="1"/>
  <c r="BD240" i="1"/>
  <c r="BC240" i="1"/>
  <c r="BB240" i="1"/>
  <c r="BA240" i="1"/>
  <c r="AZ240" i="1"/>
  <c r="AY240" i="1"/>
  <c r="AX240" i="1"/>
  <c r="AW240" i="1"/>
  <c r="AV240" i="1"/>
  <c r="AU240" i="1"/>
  <c r="AT240" i="1"/>
  <c r="AS240" i="1"/>
  <c r="AR240" i="1"/>
  <c r="AQ240" i="1"/>
  <c r="AP240" i="1"/>
  <c r="AO240" i="1"/>
  <c r="AN240" i="1"/>
  <c r="AM240" i="1"/>
  <c r="AL240" i="1"/>
  <c r="AK240" i="1"/>
  <c r="AJ240" i="1"/>
  <c r="AI240" i="1"/>
  <c r="AH240" i="1"/>
  <c r="AG240" i="1"/>
  <c r="AF240" i="1"/>
  <c r="L240" i="1"/>
  <c r="K240" i="1"/>
  <c r="BW239" i="1"/>
  <c r="BV239" i="1"/>
  <c r="BP239" i="1"/>
  <c r="BO239" i="1"/>
  <c r="BN239" i="1"/>
  <c r="BM239" i="1"/>
  <c r="BL239" i="1"/>
  <c r="BK239" i="1"/>
  <c r="BH239" i="1"/>
  <c r="BG239" i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AQ239" i="1"/>
  <c r="AP239" i="1"/>
  <c r="AO239" i="1"/>
  <c r="AN239" i="1"/>
  <c r="AM239" i="1"/>
  <c r="AL239" i="1"/>
  <c r="AK239" i="1"/>
  <c r="AJ239" i="1"/>
  <c r="AI239" i="1"/>
  <c r="AH239" i="1"/>
  <c r="AG239" i="1"/>
  <c r="AF239" i="1"/>
  <c r="L239" i="1"/>
  <c r="K239" i="1"/>
  <c r="BW238" i="1"/>
  <c r="BV238" i="1"/>
  <c r="BP238" i="1"/>
  <c r="BO238" i="1"/>
  <c r="BN238" i="1"/>
  <c r="BM238" i="1"/>
  <c r="BL238" i="1"/>
  <c r="BK238" i="1"/>
  <c r="BH238" i="1"/>
  <c r="BG238" i="1"/>
  <c r="BF238" i="1"/>
  <c r="BE238" i="1"/>
  <c r="BD238" i="1"/>
  <c r="BC238" i="1"/>
  <c r="BB238" i="1"/>
  <c r="BA238" i="1"/>
  <c r="AZ238" i="1"/>
  <c r="AY238" i="1"/>
  <c r="AX238" i="1"/>
  <c r="AW238" i="1"/>
  <c r="AV238" i="1"/>
  <c r="AU238" i="1"/>
  <c r="AT238" i="1"/>
  <c r="AS238" i="1"/>
  <c r="AR238" i="1"/>
  <c r="AQ238" i="1"/>
  <c r="AP238" i="1"/>
  <c r="AO238" i="1"/>
  <c r="AN238" i="1"/>
  <c r="AM238" i="1"/>
  <c r="AL238" i="1"/>
  <c r="AK238" i="1"/>
  <c r="AJ238" i="1"/>
  <c r="AI238" i="1"/>
  <c r="AH238" i="1"/>
  <c r="AG238" i="1"/>
  <c r="AF238" i="1"/>
  <c r="L238" i="1"/>
  <c r="K238" i="1"/>
  <c r="BW237" i="1"/>
  <c r="BV237" i="1"/>
  <c r="BP237" i="1"/>
  <c r="BO237" i="1"/>
  <c r="BN237" i="1"/>
  <c r="BM237" i="1"/>
  <c r="BL237" i="1"/>
  <c r="BK237" i="1"/>
  <c r="BH237" i="1"/>
  <c r="BG237" i="1"/>
  <c r="BF237" i="1"/>
  <c r="BE237" i="1"/>
  <c r="BD237" i="1"/>
  <c r="BC237" i="1"/>
  <c r="BB237" i="1"/>
  <c r="BA237" i="1"/>
  <c r="AZ237" i="1"/>
  <c r="AY237" i="1"/>
  <c r="AX237" i="1"/>
  <c r="AW237" i="1"/>
  <c r="AV237" i="1"/>
  <c r="AU237" i="1"/>
  <c r="AT237" i="1"/>
  <c r="AS237" i="1"/>
  <c r="AL237" i="1"/>
  <c r="AK237" i="1"/>
  <c r="AJ237" i="1"/>
  <c r="AI237" i="1"/>
  <c r="AH237" i="1"/>
  <c r="AG237" i="1"/>
  <c r="AF237" i="1"/>
  <c r="L237" i="1"/>
  <c r="K237" i="1"/>
  <c r="BW236" i="1"/>
  <c r="BV236" i="1"/>
  <c r="BP236" i="1"/>
  <c r="BO236" i="1"/>
  <c r="BN236" i="1"/>
  <c r="BM236" i="1"/>
  <c r="BL236" i="1"/>
  <c r="BK236" i="1"/>
  <c r="BH236" i="1"/>
  <c r="BG236" i="1"/>
  <c r="BF236" i="1"/>
  <c r="BE236" i="1"/>
  <c r="BD236" i="1"/>
  <c r="BC236" i="1"/>
  <c r="BB236" i="1"/>
  <c r="BA236" i="1"/>
  <c r="AZ236" i="1"/>
  <c r="AY236" i="1"/>
  <c r="AX236" i="1"/>
  <c r="AW236" i="1"/>
  <c r="AV236" i="1"/>
  <c r="AU236" i="1"/>
  <c r="AT236" i="1"/>
  <c r="AS236" i="1"/>
  <c r="AR236" i="1"/>
  <c r="AQ236" i="1"/>
  <c r="AP236" i="1"/>
  <c r="AO236" i="1"/>
  <c r="AN236" i="1"/>
  <c r="AM236" i="1"/>
  <c r="AL236" i="1"/>
  <c r="AK236" i="1"/>
  <c r="AJ236" i="1"/>
  <c r="AI236" i="1"/>
  <c r="AH236" i="1"/>
  <c r="AG236" i="1"/>
  <c r="AF236" i="1"/>
  <c r="L236" i="1"/>
  <c r="K236" i="1"/>
  <c r="BW235" i="1"/>
  <c r="BV235" i="1"/>
  <c r="BP235" i="1"/>
  <c r="BO235" i="1"/>
  <c r="BN235" i="1"/>
  <c r="BM235" i="1"/>
  <c r="BL235" i="1"/>
  <c r="BK235" i="1"/>
  <c r="BH235" i="1"/>
  <c r="BG235" i="1"/>
  <c r="BF235" i="1"/>
  <c r="BE235" i="1"/>
  <c r="BD235" i="1"/>
  <c r="BC235" i="1"/>
  <c r="BB235" i="1"/>
  <c r="BA235" i="1"/>
  <c r="AZ235" i="1"/>
  <c r="AY235" i="1"/>
  <c r="AX235" i="1"/>
  <c r="AW235" i="1"/>
  <c r="AV235" i="1"/>
  <c r="AU235" i="1"/>
  <c r="AT235" i="1"/>
  <c r="AS235" i="1"/>
  <c r="AR235" i="1"/>
  <c r="AQ235" i="1"/>
  <c r="AP235" i="1"/>
  <c r="AO235" i="1"/>
  <c r="AN235" i="1"/>
  <c r="AM235" i="1"/>
  <c r="AL235" i="1"/>
  <c r="AK235" i="1"/>
  <c r="AJ235" i="1"/>
  <c r="AI235" i="1"/>
  <c r="AH235" i="1"/>
  <c r="AG235" i="1"/>
  <c r="AF235" i="1"/>
  <c r="L235" i="1"/>
  <c r="K235" i="1"/>
  <c r="L234" i="1"/>
  <c r="K234" i="1"/>
  <c r="BW233" i="1"/>
  <c r="BV233" i="1"/>
  <c r="BP233" i="1"/>
  <c r="BO233" i="1"/>
  <c r="BN233" i="1"/>
  <c r="BM233" i="1"/>
  <c r="BL233" i="1"/>
  <c r="BK233" i="1"/>
  <c r="BH233" i="1"/>
  <c r="BG233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L233" i="1"/>
  <c r="K233" i="1"/>
  <c r="BW232" i="1"/>
  <c r="BV232" i="1"/>
  <c r="BP232" i="1"/>
  <c r="BO232" i="1"/>
  <c r="BN232" i="1"/>
  <c r="BM232" i="1"/>
  <c r="BL232" i="1"/>
  <c r="BK232" i="1"/>
  <c r="BH232" i="1"/>
  <c r="BG232" i="1"/>
  <c r="BF232" i="1"/>
  <c r="BE232" i="1"/>
  <c r="BD232" i="1"/>
  <c r="BC232" i="1"/>
  <c r="BB232" i="1"/>
  <c r="BA232" i="1"/>
  <c r="AZ232" i="1"/>
  <c r="AY232" i="1"/>
  <c r="AX232" i="1"/>
  <c r="AW232" i="1"/>
  <c r="AV232" i="1"/>
  <c r="AU232" i="1"/>
  <c r="AT232" i="1"/>
  <c r="AS232" i="1"/>
  <c r="AR232" i="1"/>
  <c r="AQ232" i="1"/>
  <c r="AP232" i="1"/>
  <c r="AO232" i="1"/>
  <c r="AN232" i="1"/>
  <c r="AM232" i="1"/>
  <c r="AL232" i="1"/>
  <c r="AK232" i="1"/>
  <c r="AJ232" i="1"/>
  <c r="AI232" i="1"/>
  <c r="AH232" i="1"/>
  <c r="AG232" i="1"/>
  <c r="AF232" i="1"/>
  <c r="L232" i="1"/>
  <c r="K232" i="1"/>
  <c r="BW231" i="1"/>
  <c r="BV231" i="1"/>
  <c r="BP231" i="1"/>
  <c r="BO231" i="1"/>
  <c r="BN231" i="1"/>
  <c r="BM231" i="1"/>
  <c r="BL231" i="1"/>
  <c r="BK231" i="1"/>
  <c r="BH231" i="1"/>
  <c r="BG231" i="1"/>
  <c r="BF231" i="1"/>
  <c r="BE231" i="1"/>
  <c r="BD231" i="1"/>
  <c r="BC231" i="1"/>
  <c r="BB231" i="1"/>
  <c r="BA231" i="1"/>
  <c r="AZ231" i="1"/>
  <c r="AY231" i="1"/>
  <c r="AX231" i="1"/>
  <c r="AL231" i="1"/>
  <c r="AK231" i="1"/>
  <c r="AJ231" i="1"/>
  <c r="AI231" i="1"/>
  <c r="AH231" i="1"/>
  <c r="AG231" i="1"/>
  <c r="AF231" i="1"/>
  <c r="L231" i="1"/>
  <c r="K231" i="1"/>
  <c r="BW230" i="1"/>
  <c r="BV230" i="1"/>
  <c r="BP230" i="1"/>
  <c r="BO230" i="1"/>
  <c r="BN230" i="1"/>
  <c r="BM230" i="1"/>
  <c r="BL230" i="1"/>
  <c r="BK230" i="1"/>
  <c r="BH230" i="1"/>
  <c r="BG230" i="1"/>
  <c r="BF230" i="1"/>
  <c r="BE230" i="1"/>
  <c r="BD230" i="1"/>
  <c r="BC230" i="1"/>
  <c r="BB230" i="1"/>
  <c r="BA230" i="1"/>
  <c r="AZ230" i="1"/>
  <c r="AY230" i="1"/>
  <c r="AX230" i="1"/>
  <c r="AW230" i="1"/>
  <c r="AV230" i="1"/>
  <c r="AU230" i="1"/>
  <c r="AT230" i="1"/>
  <c r="AS230" i="1"/>
  <c r="AR230" i="1"/>
  <c r="AQ230" i="1"/>
  <c r="AP230" i="1"/>
  <c r="AO230" i="1"/>
  <c r="AN230" i="1"/>
  <c r="AM230" i="1"/>
  <c r="AL230" i="1"/>
  <c r="AK230" i="1"/>
  <c r="AJ230" i="1"/>
  <c r="AI230" i="1"/>
  <c r="AH230" i="1"/>
  <c r="AG230" i="1"/>
  <c r="AF230" i="1"/>
  <c r="L230" i="1"/>
  <c r="K230" i="1"/>
  <c r="BW229" i="1"/>
  <c r="BV229" i="1"/>
  <c r="BP229" i="1"/>
  <c r="BO229" i="1"/>
  <c r="BN229" i="1"/>
  <c r="BM229" i="1"/>
  <c r="BL229" i="1"/>
  <c r="BK229" i="1"/>
  <c r="BH229" i="1"/>
  <c r="BG229" i="1"/>
  <c r="BF229" i="1"/>
  <c r="BE229" i="1"/>
  <c r="BD229" i="1"/>
  <c r="BC229" i="1"/>
  <c r="BB229" i="1"/>
  <c r="BA229" i="1"/>
  <c r="AZ229" i="1"/>
  <c r="AY229" i="1"/>
  <c r="AX229" i="1"/>
  <c r="AW229" i="1"/>
  <c r="AV229" i="1"/>
  <c r="AU229" i="1"/>
  <c r="AT229" i="1"/>
  <c r="AS229" i="1"/>
  <c r="AR229" i="1"/>
  <c r="AQ229" i="1"/>
  <c r="AP229" i="1"/>
  <c r="AO229" i="1"/>
  <c r="AN229" i="1"/>
  <c r="AM229" i="1"/>
  <c r="AL229" i="1"/>
  <c r="AK229" i="1"/>
  <c r="AJ229" i="1"/>
  <c r="AI229" i="1"/>
  <c r="AH229" i="1"/>
  <c r="AG229" i="1"/>
  <c r="AF229" i="1"/>
  <c r="L229" i="1"/>
  <c r="K229" i="1"/>
  <c r="BW228" i="1"/>
  <c r="BV228" i="1"/>
  <c r="BP228" i="1"/>
  <c r="BO228" i="1"/>
  <c r="BN228" i="1"/>
  <c r="BM228" i="1"/>
  <c r="BL228" i="1"/>
  <c r="BK228" i="1"/>
  <c r="BH228" i="1"/>
  <c r="BG228" i="1"/>
  <c r="BF228" i="1"/>
  <c r="BE228" i="1"/>
  <c r="BD228" i="1"/>
  <c r="BC228" i="1"/>
  <c r="BB228" i="1"/>
  <c r="BA228" i="1"/>
  <c r="AZ228" i="1"/>
  <c r="AY228" i="1"/>
  <c r="AX228" i="1"/>
  <c r="AW228" i="1"/>
  <c r="AV228" i="1"/>
  <c r="AU228" i="1"/>
  <c r="AT228" i="1"/>
  <c r="AS228" i="1"/>
  <c r="AR228" i="1"/>
  <c r="AQ228" i="1"/>
  <c r="AP228" i="1"/>
  <c r="AO228" i="1"/>
  <c r="AN228" i="1"/>
  <c r="AM228" i="1"/>
  <c r="AL228" i="1"/>
  <c r="AK228" i="1"/>
  <c r="AJ228" i="1"/>
  <c r="AI228" i="1"/>
  <c r="AH228" i="1"/>
  <c r="AG228" i="1"/>
  <c r="AF228" i="1"/>
  <c r="L228" i="1"/>
  <c r="K228" i="1"/>
  <c r="BW227" i="1"/>
  <c r="BV227" i="1"/>
  <c r="BP227" i="1"/>
  <c r="BO227" i="1"/>
  <c r="BN227" i="1"/>
  <c r="BM227" i="1"/>
  <c r="BL227" i="1"/>
  <c r="BK227" i="1"/>
  <c r="BH227" i="1"/>
  <c r="BG227" i="1"/>
  <c r="BF227" i="1"/>
  <c r="BE227" i="1"/>
  <c r="BD227" i="1"/>
  <c r="BC227" i="1"/>
  <c r="BB227" i="1"/>
  <c r="BA227" i="1"/>
  <c r="AZ227" i="1"/>
  <c r="AY227" i="1"/>
  <c r="AX227" i="1"/>
  <c r="AW227" i="1"/>
  <c r="AV227" i="1"/>
  <c r="AU227" i="1"/>
  <c r="AT227" i="1"/>
  <c r="AS227" i="1"/>
  <c r="AR227" i="1"/>
  <c r="AQ227" i="1"/>
  <c r="AP227" i="1"/>
  <c r="AO227" i="1"/>
  <c r="AN227" i="1"/>
  <c r="AM227" i="1"/>
  <c r="AL227" i="1"/>
  <c r="AK227" i="1"/>
  <c r="AJ227" i="1"/>
  <c r="AI227" i="1"/>
  <c r="AH227" i="1"/>
  <c r="AG227" i="1"/>
  <c r="AF227" i="1"/>
  <c r="L227" i="1"/>
  <c r="K227" i="1"/>
  <c r="BW226" i="1"/>
  <c r="BV226" i="1"/>
  <c r="BP226" i="1"/>
  <c r="BO226" i="1"/>
  <c r="BN226" i="1"/>
  <c r="BM226" i="1"/>
  <c r="BL226" i="1"/>
  <c r="BK226" i="1"/>
  <c r="BH226" i="1"/>
  <c r="BG226" i="1"/>
  <c r="BF226" i="1"/>
  <c r="BE226" i="1"/>
  <c r="BD226" i="1"/>
  <c r="BC226" i="1"/>
  <c r="BB226" i="1"/>
  <c r="BA226" i="1"/>
  <c r="AZ226" i="1"/>
  <c r="AY226" i="1"/>
  <c r="AX226" i="1"/>
  <c r="AW226" i="1"/>
  <c r="AV226" i="1"/>
  <c r="AU226" i="1"/>
  <c r="AT226" i="1"/>
  <c r="AS226" i="1"/>
  <c r="AL226" i="1"/>
  <c r="AK226" i="1"/>
  <c r="AJ226" i="1"/>
  <c r="AI226" i="1"/>
  <c r="AH226" i="1"/>
  <c r="AG226" i="1"/>
  <c r="AF226" i="1"/>
  <c r="L226" i="1"/>
  <c r="K226" i="1"/>
  <c r="BW225" i="1"/>
  <c r="BV225" i="1"/>
  <c r="BP225" i="1"/>
  <c r="BO225" i="1"/>
  <c r="BN225" i="1"/>
  <c r="BM225" i="1"/>
  <c r="BL225" i="1"/>
  <c r="BK225" i="1"/>
  <c r="BH225" i="1"/>
  <c r="BG225" i="1"/>
  <c r="BF225" i="1"/>
  <c r="BE225" i="1"/>
  <c r="BD225" i="1"/>
  <c r="BC225" i="1"/>
  <c r="BB225" i="1"/>
  <c r="BA225" i="1"/>
  <c r="AZ225" i="1"/>
  <c r="AY225" i="1"/>
  <c r="AX225" i="1"/>
  <c r="AW225" i="1"/>
  <c r="AV225" i="1"/>
  <c r="AU225" i="1"/>
  <c r="AT225" i="1"/>
  <c r="AS225" i="1"/>
  <c r="AR225" i="1"/>
  <c r="AQ225" i="1"/>
  <c r="AP225" i="1"/>
  <c r="AO225" i="1"/>
  <c r="AN225" i="1"/>
  <c r="AM225" i="1"/>
  <c r="AL225" i="1"/>
  <c r="AK225" i="1"/>
  <c r="AJ225" i="1"/>
  <c r="AI225" i="1"/>
  <c r="AH225" i="1"/>
  <c r="AG225" i="1"/>
  <c r="AF225" i="1"/>
  <c r="L225" i="1"/>
  <c r="K225" i="1"/>
  <c r="BX224" i="1"/>
  <c r="BW224" i="1"/>
  <c r="BV224" i="1"/>
  <c r="BP224" i="1"/>
  <c r="BO224" i="1"/>
  <c r="BN224" i="1"/>
  <c r="BM224" i="1"/>
  <c r="BL224" i="1"/>
  <c r="BK224" i="1"/>
  <c r="BH224" i="1"/>
  <c r="BG224" i="1"/>
  <c r="BF224" i="1"/>
  <c r="BE224" i="1"/>
  <c r="BD224" i="1"/>
  <c r="BC224" i="1"/>
  <c r="BB224" i="1"/>
  <c r="BA224" i="1"/>
  <c r="AZ224" i="1"/>
  <c r="AY224" i="1"/>
  <c r="AX224" i="1"/>
  <c r="AW224" i="1"/>
  <c r="AV224" i="1"/>
  <c r="AU224" i="1"/>
  <c r="AT224" i="1"/>
  <c r="AS224" i="1"/>
  <c r="AR224" i="1"/>
  <c r="AQ224" i="1"/>
  <c r="AP224" i="1"/>
  <c r="AO224" i="1"/>
  <c r="AN224" i="1"/>
  <c r="AM224" i="1"/>
  <c r="AL224" i="1"/>
  <c r="AK224" i="1"/>
  <c r="AJ224" i="1"/>
  <c r="AI224" i="1"/>
  <c r="AH224" i="1"/>
  <c r="AG224" i="1"/>
  <c r="AF224" i="1"/>
  <c r="L224" i="1"/>
  <c r="K224" i="1"/>
  <c r="BW223" i="1"/>
  <c r="BV223" i="1"/>
  <c r="BP223" i="1"/>
  <c r="BO223" i="1"/>
  <c r="BN223" i="1"/>
  <c r="BM223" i="1"/>
  <c r="BL223" i="1"/>
  <c r="BK223" i="1"/>
  <c r="BH223" i="1"/>
  <c r="BG223" i="1"/>
  <c r="BF223" i="1"/>
  <c r="BE223" i="1"/>
  <c r="BD223" i="1"/>
  <c r="BC223" i="1"/>
  <c r="BB223" i="1"/>
  <c r="BA223" i="1"/>
  <c r="AZ223" i="1"/>
  <c r="AY223" i="1"/>
  <c r="AX223" i="1"/>
  <c r="AW223" i="1"/>
  <c r="AV223" i="1"/>
  <c r="AU223" i="1"/>
  <c r="AT223" i="1"/>
  <c r="AS223" i="1"/>
  <c r="AR223" i="1"/>
  <c r="AQ223" i="1"/>
  <c r="AP223" i="1"/>
  <c r="AO223" i="1"/>
  <c r="AN223" i="1"/>
  <c r="AM223" i="1"/>
  <c r="AL223" i="1"/>
  <c r="AK223" i="1"/>
  <c r="AJ223" i="1"/>
  <c r="AI223" i="1"/>
  <c r="AH223" i="1"/>
  <c r="AG223" i="1"/>
  <c r="AF223" i="1"/>
  <c r="L223" i="1"/>
  <c r="K223" i="1"/>
  <c r="BX222" i="1"/>
  <c r="BW222" i="1"/>
  <c r="BV222" i="1"/>
  <c r="BP222" i="1"/>
  <c r="BO222" i="1"/>
  <c r="BN222" i="1"/>
  <c r="BM222" i="1"/>
  <c r="BL222" i="1"/>
  <c r="BK222" i="1"/>
  <c r="BH222" i="1"/>
  <c r="BG222" i="1"/>
  <c r="BF222" i="1"/>
  <c r="BE222" i="1"/>
  <c r="BD222" i="1"/>
  <c r="BC222" i="1"/>
  <c r="BB222" i="1"/>
  <c r="BA222" i="1"/>
  <c r="AZ222" i="1"/>
  <c r="AY222" i="1"/>
  <c r="AX222" i="1"/>
  <c r="AW222" i="1"/>
  <c r="AV222" i="1"/>
  <c r="AU222" i="1"/>
  <c r="AT222" i="1"/>
  <c r="AS222" i="1"/>
  <c r="AR222" i="1"/>
  <c r="AQ222" i="1"/>
  <c r="AP222" i="1"/>
  <c r="AO222" i="1"/>
  <c r="AN222" i="1"/>
  <c r="AM222" i="1"/>
  <c r="AL222" i="1"/>
  <c r="AK222" i="1"/>
  <c r="AJ222" i="1"/>
  <c r="AI222" i="1"/>
  <c r="AH222" i="1"/>
  <c r="AG222" i="1"/>
  <c r="AF222" i="1"/>
  <c r="L222" i="1"/>
  <c r="K222" i="1"/>
  <c r="BW221" i="1"/>
  <c r="BV221" i="1"/>
  <c r="BP221" i="1"/>
  <c r="BO221" i="1"/>
  <c r="BN221" i="1"/>
  <c r="BM221" i="1"/>
  <c r="BL221" i="1"/>
  <c r="BK221" i="1"/>
  <c r="BH221" i="1"/>
  <c r="BG221" i="1"/>
  <c r="BF221" i="1"/>
  <c r="BE221" i="1"/>
  <c r="BD221" i="1"/>
  <c r="BC221" i="1"/>
  <c r="BB221" i="1"/>
  <c r="BA221" i="1"/>
  <c r="AZ221" i="1"/>
  <c r="AY221" i="1"/>
  <c r="AX221" i="1"/>
  <c r="AW221" i="1"/>
  <c r="AV221" i="1"/>
  <c r="AU221" i="1"/>
  <c r="AT221" i="1"/>
  <c r="AS221" i="1"/>
  <c r="AR221" i="1"/>
  <c r="AQ221" i="1"/>
  <c r="AP221" i="1"/>
  <c r="AO221" i="1"/>
  <c r="AN221" i="1"/>
  <c r="AM221" i="1"/>
  <c r="AL221" i="1"/>
  <c r="AK221" i="1"/>
  <c r="AJ221" i="1"/>
  <c r="AI221" i="1"/>
  <c r="AH221" i="1"/>
  <c r="AG221" i="1"/>
  <c r="AF221" i="1"/>
  <c r="L221" i="1"/>
  <c r="K221" i="1"/>
  <c r="BX220" i="1"/>
  <c r="BW220" i="1"/>
  <c r="BV220" i="1"/>
  <c r="BP220" i="1"/>
  <c r="BO220" i="1"/>
  <c r="BN220" i="1"/>
  <c r="BM220" i="1"/>
  <c r="BL220" i="1"/>
  <c r="BK220" i="1"/>
  <c r="BH220" i="1"/>
  <c r="BG220" i="1"/>
  <c r="BF220" i="1"/>
  <c r="BE220" i="1"/>
  <c r="BD220" i="1"/>
  <c r="BC220" i="1"/>
  <c r="BB220" i="1"/>
  <c r="BA220" i="1"/>
  <c r="AZ220" i="1"/>
  <c r="AY220" i="1"/>
  <c r="AX220" i="1"/>
  <c r="AW220" i="1"/>
  <c r="AV220" i="1"/>
  <c r="AU220" i="1"/>
  <c r="AT220" i="1"/>
  <c r="AS220" i="1"/>
  <c r="AR220" i="1"/>
  <c r="AQ220" i="1"/>
  <c r="AP220" i="1"/>
  <c r="AO220" i="1"/>
  <c r="AN220" i="1"/>
  <c r="AM220" i="1"/>
  <c r="AL220" i="1"/>
  <c r="AK220" i="1"/>
  <c r="AJ220" i="1"/>
  <c r="AI220" i="1"/>
  <c r="AH220" i="1"/>
  <c r="AG220" i="1"/>
  <c r="AF220" i="1"/>
  <c r="L220" i="1"/>
  <c r="K220" i="1"/>
  <c r="BX219" i="1"/>
  <c r="BW219" i="1"/>
  <c r="BV219" i="1"/>
  <c r="BP219" i="1"/>
  <c r="BO219" i="1"/>
  <c r="BN219" i="1"/>
  <c r="BM219" i="1"/>
  <c r="BL219" i="1"/>
  <c r="BK219" i="1"/>
  <c r="BH219" i="1"/>
  <c r="BG219" i="1"/>
  <c r="BF219" i="1"/>
  <c r="BE219" i="1"/>
  <c r="BD219" i="1"/>
  <c r="BC219" i="1"/>
  <c r="BB219" i="1"/>
  <c r="BA219" i="1"/>
  <c r="AZ219" i="1"/>
  <c r="AY219" i="1"/>
  <c r="AX219" i="1"/>
  <c r="AW219" i="1"/>
  <c r="AV219" i="1"/>
  <c r="AU219" i="1"/>
  <c r="AT219" i="1"/>
  <c r="AS219" i="1"/>
  <c r="AR219" i="1"/>
  <c r="AQ219" i="1"/>
  <c r="AP219" i="1"/>
  <c r="AO219" i="1"/>
  <c r="AN219" i="1"/>
  <c r="AM219" i="1"/>
  <c r="AL219" i="1"/>
  <c r="AK219" i="1"/>
  <c r="AJ219" i="1"/>
  <c r="AI219" i="1"/>
  <c r="AH219" i="1"/>
  <c r="AG219" i="1"/>
  <c r="AF219" i="1"/>
  <c r="L219" i="1"/>
  <c r="K219" i="1"/>
  <c r="BX218" i="1"/>
  <c r="BW218" i="1"/>
  <c r="BV218" i="1"/>
  <c r="BP218" i="1"/>
  <c r="BO218" i="1"/>
  <c r="BN218" i="1"/>
  <c r="BM218" i="1"/>
  <c r="BL218" i="1"/>
  <c r="BK218" i="1"/>
  <c r="BH218" i="1"/>
  <c r="BG218" i="1"/>
  <c r="BF218" i="1"/>
  <c r="BE218" i="1"/>
  <c r="BD218" i="1"/>
  <c r="BC218" i="1"/>
  <c r="BB218" i="1"/>
  <c r="BA218" i="1"/>
  <c r="AZ218" i="1"/>
  <c r="AY218" i="1"/>
  <c r="AX218" i="1"/>
  <c r="AW218" i="1"/>
  <c r="AV218" i="1"/>
  <c r="AU218" i="1"/>
  <c r="AT218" i="1"/>
  <c r="AS218" i="1"/>
  <c r="AR218" i="1"/>
  <c r="AQ218" i="1"/>
  <c r="AP218" i="1"/>
  <c r="AO218" i="1"/>
  <c r="AN218" i="1"/>
  <c r="AM218" i="1"/>
  <c r="AL218" i="1"/>
  <c r="AK218" i="1"/>
  <c r="AJ218" i="1"/>
  <c r="AI218" i="1"/>
  <c r="AH218" i="1"/>
  <c r="AG218" i="1"/>
  <c r="AF218" i="1"/>
  <c r="L218" i="1"/>
  <c r="K218" i="1"/>
  <c r="BX217" i="1"/>
  <c r="BW217" i="1"/>
  <c r="BV217" i="1"/>
  <c r="BP217" i="1"/>
  <c r="BO217" i="1"/>
  <c r="BN217" i="1"/>
  <c r="BM217" i="1"/>
  <c r="BL217" i="1"/>
  <c r="BK217" i="1"/>
  <c r="BH217" i="1"/>
  <c r="BG217" i="1"/>
  <c r="BF217" i="1"/>
  <c r="BE217" i="1"/>
  <c r="BD217" i="1"/>
  <c r="BC217" i="1"/>
  <c r="BB217" i="1"/>
  <c r="BA217" i="1"/>
  <c r="AZ217" i="1"/>
  <c r="AY217" i="1"/>
  <c r="AX217" i="1"/>
  <c r="AW217" i="1"/>
  <c r="AV217" i="1"/>
  <c r="AU217" i="1"/>
  <c r="AT217" i="1"/>
  <c r="AS217" i="1"/>
  <c r="AR217" i="1"/>
  <c r="AQ217" i="1"/>
  <c r="AP217" i="1"/>
  <c r="AO217" i="1"/>
  <c r="AN217" i="1"/>
  <c r="AM217" i="1"/>
  <c r="AL217" i="1"/>
  <c r="AK217" i="1"/>
  <c r="AJ217" i="1"/>
  <c r="AI217" i="1"/>
  <c r="AH217" i="1"/>
  <c r="AG217" i="1"/>
  <c r="AF217" i="1"/>
  <c r="L217" i="1"/>
  <c r="K217" i="1"/>
  <c r="BX216" i="1"/>
  <c r="BW216" i="1"/>
  <c r="BV216" i="1"/>
  <c r="BP216" i="1"/>
  <c r="BO216" i="1"/>
  <c r="BN216" i="1"/>
  <c r="BM216" i="1"/>
  <c r="BL216" i="1"/>
  <c r="BK216" i="1"/>
  <c r="BH216" i="1"/>
  <c r="BG216" i="1"/>
  <c r="BF216" i="1"/>
  <c r="BE216" i="1"/>
  <c r="BD216" i="1"/>
  <c r="BC216" i="1"/>
  <c r="BB216" i="1"/>
  <c r="BA216" i="1"/>
  <c r="AZ216" i="1"/>
  <c r="AY216" i="1"/>
  <c r="AX216" i="1"/>
  <c r="AW216" i="1"/>
  <c r="AV216" i="1"/>
  <c r="AU216" i="1"/>
  <c r="AT216" i="1"/>
  <c r="AS216" i="1"/>
  <c r="AR216" i="1"/>
  <c r="AQ216" i="1"/>
  <c r="AP216" i="1"/>
  <c r="AO216" i="1"/>
  <c r="AN216" i="1"/>
  <c r="AM216" i="1"/>
  <c r="AL216" i="1"/>
  <c r="AK216" i="1"/>
  <c r="AJ216" i="1"/>
  <c r="AI216" i="1"/>
  <c r="AH216" i="1"/>
  <c r="AG216" i="1"/>
  <c r="AF216" i="1"/>
  <c r="L216" i="1"/>
  <c r="K216" i="1"/>
  <c r="BX215" i="1"/>
  <c r="BW215" i="1"/>
  <c r="BV215" i="1"/>
  <c r="BP215" i="1"/>
  <c r="BO215" i="1"/>
  <c r="BN215" i="1"/>
  <c r="BM215" i="1"/>
  <c r="BL215" i="1"/>
  <c r="BK215" i="1"/>
  <c r="BH215" i="1"/>
  <c r="BG215" i="1"/>
  <c r="BF215" i="1"/>
  <c r="BE215" i="1"/>
  <c r="BD215" i="1"/>
  <c r="BC215" i="1"/>
  <c r="BB215" i="1"/>
  <c r="BA215" i="1"/>
  <c r="AZ215" i="1"/>
  <c r="AY215" i="1"/>
  <c r="AX215" i="1"/>
  <c r="AW215" i="1"/>
  <c r="AV215" i="1"/>
  <c r="AU215" i="1"/>
  <c r="AT215" i="1"/>
  <c r="AS215" i="1"/>
  <c r="AR215" i="1"/>
  <c r="AQ215" i="1"/>
  <c r="AP215" i="1"/>
  <c r="AO215" i="1"/>
  <c r="AN215" i="1"/>
  <c r="AM215" i="1"/>
  <c r="AL215" i="1"/>
  <c r="AK215" i="1"/>
  <c r="AJ215" i="1"/>
  <c r="AI215" i="1"/>
  <c r="AH215" i="1"/>
  <c r="AG215" i="1"/>
  <c r="AF215" i="1"/>
  <c r="L215" i="1"/>
  <c r="K215" i="1"/>
  <c r="BX214" i="1"/>
  <c r="BW214" i="1"/>
  <c r="BV214" i="1"/>
  <c r="BP214" i="1"/>
  <c r="BO214" i="1"/>
  <c r="BN214" i="1"/>
  <c r="BM214" i="1"/>
  <c r="BL214" i="1"/>
  <c r="BK214" i="1"/>
  <c r="BH214" i="1"/>
  <c r="BG214" i="1"/>
  <c r="BF214" i="1"/>
  <c r="BE214" i="1"/>
  <c r="BD214" i="1"/>
  <c r="BC214" i="1"/>
  <c r="BB214" i="1"/>
  <c r="BA214" i="1"/>
  <c r="AZ214" i="1"/>
  <c r="AY214" i="1"/>
  <c r="AX214" i="1"/>
  <c r="AW214" i="1"/>
  <c r="AV214" i="1"/>
  <c r="AU214" i="1"/>
  <c r="AT214" i="1"/>
  <c r="AS214" i="1"/>
  <c r="AR214" i="1"/>
  <c r="AQ214" i="1"/>
  <c r="AP214" i="1"/>
  <c r="AO214" i="1"/>
  <c r="AN214" i="1"/>
  <c r="AM214" i="1"/>
  <c r="AL214" i="1"/>
  <c r="AK214" i="1"/>
  <c r="AJ214" i="1"/>
  <c r="AI214" i="1"/>
  <c r="AH214" i="1"/>
  <c r="AG214" i="1"/>
  <c r="AF214" i="1"/>
  <c r="L214" i="1"/>
  <c r="K214" i="1"/>
  <c r="BX213" i="1"/>
  <c r="BW213" i="1"/>
  <c r="BV213" i="1"/>
  <c r="BP213" i="1"/>
  <c r="BO213" i="1"/>
  <c r="BN213" i="1"/>
  <c r="BM213" i="1"/>
  <c r="BL213" i="1"/>
  <c r="BK213" i="1"/>
  <c r="BH213" i="1"/>
  <c r="BG213" i="1"/>
  <c r="BF213" i="1"/>
  <c r="BE213" i="1"/>
  <c r="BD213" i="1"/>
  <c r="BC213" i="1"/>
  <c r="BB213" i="1"/>
  <c r="BA213" i="1"/>
  <c r="AZ213" i="1"/>
  <c r="AY213" i="1"/>
  <c r="AX213" i="1"/>
  <c r="AW213" i="1"/>
  <c r="AV213" i="1"/>
  <c r="AU213" i="1"/>
  <c r="AT213" i="1"/>
  <c r="AS213" i="1"/>
  <c r="AR213" i="1"/>
  <c r="AQ213" i="1"/>
  <c r="AP213" i="1"/>
  <c r="AO213" i="1"/>
  <c r="AN213" i="1"/>
  <c r="AM213" i="1"/>
  <c r="AL213" i="1"/>
  <c r="AK213" i="1"/>
  <c r="AJ213" i="1"/>
  <c r="AI213" i="1"/>
  <c r="AH213" i="1"/>
  <c r="AG213" i="1"/>
  <c r="AF213" i="1"/>
  <c r="L213" i="1"/>
  <c r="K213" i="1"/>
  <c r="BX212" i="1"/>
  <c r="BW212" i="1"/>
  <c r="BV212" i="1"/>
  <c r="BP212" i="1"/>
  <c r="BO212" i="1"/>
  <c r="BN212" i="1"/>
  <c r="BM212" i="1"/>
  <c r="BL212" i="1"/>
  <c r="BK212" i="1"/>
  <c r="BH212" i="1"/>
  <c r="BG212" i="1"/>
  <c r="BF212" i="1"/>
  <c r="BE212" i="1"/>
  <c r="BD212" i="1"/>
  <c r="BC212" i="1"/>
  <c r="BB212" i="1"/>
  <c r="BA212" i="1"/>
  <c r="AZ212" i="1"/>
  <c r="AY212" i="1"/>
  <c r="AX212" i="1"/>
  <c r="AW212" i="1"/>
  <c r="AV212" i="1"/>
  <c r="AU212" i="1"/>
  <c r="AT212" i="1"/>
  <c r="AS212" i="1"/>
  <c r="AL212" i="1"/>
  <c r="AK212" i="1"/>
  <c r="AJ212" i="1"/>
  <c r="AI212" i="1"/>
  <c r="AH212" i="1"/>
  <c r="AG212" i="1"/>
  <c r="AF212" i="1"/>
  <c r="L212" i="1"/>
  <c r="K212" i="1"/>
  <c r="BX211" i="1"/>
  <c r="BW211" i="1"/>
  <c r="BV211" i="1"/>
  <c r="BP211" i="1"/>
  <c r="BO211" i="1"/>
  <c r="BN211" i="1"/>
  <c r="BM211" i="1"/>
  <c r="BL211" i="1"/>
  <c r="BK211" i="1"/>
  <c r="BH211" i="1"/>
  <c r="BG211" i="1"/>
  <c r="BF211" i="1"/>
  <c r="BE211" i="1"/>
  <c r="BD211" i="1"/>
  <c r="BC211" i="1"/>
  <c r="BB211" i="1"/>
  <c r="BA211" i="1"/>
  <c r="AZ211" i="1"/>
  <c r="AY211" i="1"/>
  <c r="AX211" i="1"/>
  <c r="AW211" i="1"/>
  <c r="AV211" i="1"/>
  <c r="AU211" i="1"/>
  <c r="AT211" i="1"/>
  <c r="AS211" i="1"/>
  <c r="AR211" i="1"/>
  <c r="AQ211" i="1"/>
  <c r="AP211" i="1"/>
  <c r="AO211" i="1"/>
  <c r="AN211" i="1"/>
  <c r="AM211" i="1"/>
  <c r="AL211" i="1"/>
  <c r="AK211" i="1"/>
  <c r="AJ211" i="1"/>
  <c r="AI211" i="1"/>
  <c r="AH211" i="1"/>
  <c r="AG211" i="1"/>
  <c r="AF211" i="1"/>
  <c r="L211" i="1"/>
  <c r="K211" i="1"/>
  <c r="BX210" i="1"/>
  <c r="BW210" i="1"/>
  <c r="BV210" i="1"/>
  <c r="BP210" i="1"/>
  <c r="BO210" i="1"/>
  <c r="BN210" i="1"/>
  <c r="BM210" i="1"/>
  <c r="BL210" i="1"/>
  <c r="BK210" i="1"/>
  <c r="BH210" i="1"/>
  <c r="BG210" i="1"/>
  <c r="BF210" i="1"/>
  <c r="BE210" i="1"/>
  <c r="BD210" i="1"/>
  <c r="BC210" i="1"/>
  <c r="BB210" i="1"/>
  <c r="BA210" i="1"/>
  <c r="AZ210" i="1"/>
  <c r="AY210" i="1"/>
  <c r="AX210" i="1"/>
  <c r="AW210" i="1"/>
  <c r="AV210" i="1"/>
  <c r="AU210" i="1"/>
  <c r="AT210" i="1"/>
  <c r="AS210" i="1"/>
  <c r="AR210" i="1"/>
  <c r="AQ210" i="1"/>
  <c r="AP210" i="1"/>
  <c r="AO210" i="1"/>
  <c r="AN210" i="1"/>
  <c r="AM210" i="1"/>
  <c r="AL210" i="1"/>
  <c r="AK210" i="1"/>
  <c r="AJ210" i="1"/>
  <c r="AI210" i="1"/>
  <c r="AH210" i="1"/>
  <c r="AG210" i="1"/>
  <c r="AF210" i="1"/>
  <c r="L210" i="1"/>
  <c r="K210" i="1"/>
  <c r="BX209" i="1"/>
  <c r="BW209" i="1"/>
  <c r="BV209" i="1"/>
  <c r="BP209" i="1"/>
  <c r="BO209" i="1"/>
  <c r="BN209" i="1"/>
  <c r="BM209" i="1"/>
  <c r="BL209" i="1"/>
  <c r="BK209" i="1"/>
  <c r="BH209" i="1"/>
  <c r="BG209" i="1"/>
  <c r="BF209" i="1"/>
  <c r="BE209" i="1"/>
  <c r="BD209" i="1"/>
  <c r="BC209" i="1"/>
  <c r="BB209" i="1"/>
  <c r="BA209" i="1"/>
  <c r="AZ209" i="1"/>
  <c r="AY209" i="1"/>
  <c r="AX209" i="1"/>
  <c r="AW209" i="1"/>
  <c r="AV209" i="1"/>
  <c r="AU209" i="1"/>
  <c r="AT209" i="1"/>
  <c r="AS209" i="1"/>
  <c r="AR209" i="1"/>
  <c r="AQ209" i="1"/>
  <c r="AP209" i="1"/>
  <c r="AO209" i="1"/>
  <c r="AN209" i="1"/>
  <c r="AM209" i="1"/>
  <c r="AL209" i="1"/>
  <c r="AK209" i="1"/>
  <c r="AJ209" i="1"/>
  <c r="AI209" i="1"/>
  <c r="AH209" i="1"/>
  <c r="AG209" i="1"/>
  <c r="AF209" i="1"/>
  <c r="L209" i="1"/>
  <c r="K209" i="1"/>
  <c r="BX208" i="1"/>
  <c r="BW208" i="1"/>
  <c r="BV208" i="1"/>
  <c r="BP208" i="1"/>
  <c r="BO208" i="1"/>
  <c r="BN208" i="1"/>
  <c r="BM208" i="1"/>
  <c r="BL208" i="1"/>
  <c r="BK208" i="1"/>
  <c r="BH208" i="1"/>
  <c r="BG208" i="1"/>
  <c r="BF208" i="1"/>
  <c r="BE208" i="1"/>
  <c r="BD208" i="1"/>
  <c r="BC208" i="1"/>
  <c r="BB208" i="1"/>
  <c r="BA208" i="1"/>
  <c r="AZ208" i="1"/>
  <c r="AY208" i="1"/>
  <c r="AX208" i="1"/>
  <c r="AW208" i="1"/>
  <c r="AV208" i="1"/>
  <c r="AU208" i="1"/>
  <c r="AT208" i="1"/>
  <c r="AS208" i="1"/>
  <c r="AR208" i="1"/>
  <c r="AQ208" i="1"/>
  <c r="AP208" i="1"/>
  <c r="AO208" i="1"/>
  <c r="AN208" i="1"/>
  <c r="AM208" i="1"/>
  <c r="AL208" i="1"/>
  <c r="AK208" i="1"/>
  <c r="AJ208" i="1"/>
  <c r="AI208" i="1"/>
  <c r="AH208" i="1"/>
  <c r="AG208" i="1"/>
  <c r="AF208" i="1"/>
  <c r="L208" i="1"/>
  <c r="K208" i="1"/>
  <c r="BX207" i="1"/>
  <c r="BW207" i="1"/>
  <c r="BV207" i="1"/>
  <c r="BP207" i="1"/>
  <c r="BO207" i="1"/>
  <c r="BN207" i="1"/>
  <c r="BM207" i="1"/>
  <c r="BL207" i="1"/>
  <c r="BK207" i="1"/>
  <c r="BH207" i="1"/>
  <c r="BG207" i="1"/>
  <c r="BF207" i="1"/>
  <c r="BE207" i="1"/>
  <c r="BD207" i="1"/>
  <c r="BC207" i="1"/>
  <c r="BB207" i="1"/>
  <c r="BA207" i="1"/>
  <c r="AZ207" i="1"/>
  <c r="AY207" i="1"/>
  <c r="AX207" i="1"/>
  <c r="AW207" i="1"/>
  <c r="AV207" i="1"/>
  <c r="AU207" i="1"/>
  <c r="AT207" i="1"/>
  <c r="AS207" i="1"/>
  <c r="AR207" i="1"/>
  <c r="AQ207" i="1"/>
  <c r="AP207" i="1"/>
  <c r="AO207" i="1"/>
  <c r="AN207" i="1"/>
  <c r="AM207" i="1"/>
  <c r="AL207" i="1"/>
  <c r="AK207" i="1"/>
  <c r="AJ207" i="1"/>
  <c r="AI207" i="1"/>
  <c r="AH207" i="1"/>
  <c r="AG207" i="1"/>
  <c r="AF207" i="1"/>
  <c r="L207" i="1"/>
  <c r="K207" i="1"/>
  <c r="BX206" i="1"/>
  <c r="BW206" i="1"/>
  <c r="BV206" i="1"/>
  <c r="BP206" i="1"/>
  <c r="BO206" i="1"/>
  <c r="BN206" i="1"/>
  <c r="BM206" i="1"/>
  <c r="BL206" i="1"/>
  <c r="BK206" i="1"/>
  <c r="BH206" i="1"/>
  <c r="BG206" i="1"/>
  <c r="BF206" i="1"/>
  <c r="BE206" i="1"/>
  <c r="BD206" i="1"/>
  <c r="BC206" i="1"/>
  <c r="BB206" i="1"/>
  <c r="BA206" i="1"/>
  <c r="AZ206" i="1"/>
  <c r="AY206" i="1"/>
  <c r="AX206" i="1"/>
  <c r="AW206" i="1"/>
  <c r="AV206" i="1"/>
  <c r="AU206" i="1"/>
  <c r="AT206" i="1"/>
  <c r="AS206" i="1"/>
  <c r="AR206" i="1"/>
  <c r="AQ206" i="1"/>
  <c r="AP206" i="1"/>
  <c r="AO206" i="1"/>
  <c r="AN206" i="1"/>
  <c r="AM206" i="1"/>
  <c r="AL206" i="1"/>
  <c r="AK206" i="1"/>
  <c r="AJ206" i="1"/>
  <c r="AI206" i="1"/>
  <c r="AH206" i="1"/>
  <c r="AG206" i="1"/>
  <c r="AF206" i="1"/>
  <c r="L206" i="1"/>
  <c r="K206" i="1"/>
  <c r="BW205" i="1"/>
  <c r="BV205" i="1"/>
  <c r="BP205" i="1"/>
  <c r="BO205" i="1"/>
  <c r="BN205" i="1"/>
  <c r="BM205" i="1"/>
  <c r="BL205" i="1"/>
  <c r="BK205" i="1"/>
  <c r="BH205" i="1"/>
  <c r="BG205" i="1"/>
  <c r="BF205" i="1"/>
  <c r="BE205" i="1"/>
  <c r="BD205" i="1"/>
  <c r="BC205" i="1"/>
  <c r="BB205" i="1"/>
  <c r="BA205" i="1"/>
  <c r="AZ205" i="1"/>
  <c r="AY205" i="1"/>
  <c r="AX205" i="1"/>
  <c r="AW205" i="1"/>
  <c r="AV205" i="1"/>
  <c r="AU205" i="1"/>
  <c r="AT205" i="1"/>
  <c r="AS205" i="1"/>
  <c r="AR205" i="1"/>
  <c r="AQ205" i="1"/>
  <c r="AP205" i="1"/>
  <c r="AO205" i="1"/>
  <c r="AN205" i="1"/>
  <c r="AM205" i="1"/>
  <c r="AL205" i="1"/>
  <c r="AK205" i="1"/>
  <c r="AJ205" i="1"/>
  <c r="AI205" i="1"/>
  <c r="AH205" i="1"/>
  <c r="AG205" i="1"/>
  <c r="AF205" i="1"/>
  <c r="L205" i="1"/>
  <c r="K205" i="1"/>
  <c r="BW204" i="1"/>
  <c r="BV204" i="1"/>
  <c r="BP204" i="1"/>
  <c r="BO204" i="1"/>
  <c r="BN204" i="1"/>
  <c r="BM204" i="1"/>
  <c r="BL204" i="1"/>
  <c r="BK204" i="1"/>
  <c r="BH204" i="1"/>
  <c r="BG204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L204" i="1"/>
  <c r="K204" i="1"/>
  <c r="BX203" i="1"/>
  <c r="BW203" i="1"/>
  <c r="BV203" i="1"/>
  <c r="BP203" i="1"/>
  <c r="BO203" i="1"/>
  <c r="BN203" i="1"/>
  <c r="BM203" i="1"/>
  <c r="BL203" i="1"/>
  <c r="BK203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L203" i="1"/>
  <c r="K203" i="1"/>
  <c r="BX202" i="1"/>
  <c r="BW202" i="1"/>
  <c r="BV202" i="1"/>
  <c r="BP202" i="1"/>
  <c r="BO202" i="1"/>
  <c r="BN202" i="1"/>
  <c r="BM202" i="1"/>
  <c r="BL202" i="1"/>
  <c r="BK202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AQ202" i="1"/>
  <c r="AP202" i="1"/>
  <c r="AO202" i="1"/>
  <c r="AN202" i="1"/>
  <c r="AM202" i="1"/>
  <c r="AL202" i="1"/>
  <c r="AK202" i="1"/>
  <c r="AJ202" i="1"/>
  <c r="AI202" i="1"/>
  <c r="AH202" i="1"/>
  <c r="AG202" i="1"/>
  <c r="AF202" i="1"/>
  <c r="L202" i="1"/>
  <c r="K202" i="1"/>
  <c r="BX201" i="1"/>
  <c r="BW201" i="1"/>
  <c r="BV201" i="1"/>
  <c r="BP201" i="1"/>
  <c r="BO201" i="1"/>
  <c r="BN201" i="1"/>
  <c r="BM201" i="1"/>
  <c r="BL201" i="1"/>
  <c r="BK201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L201" i="1"/>
  <c r="AK201" i="1"/>
  <c r="AJ201" i="1"/>
  <c r="AI201" i="1"/>
  <c r="AH201" i="1"/>
  <c r="AG201" i="1"/>
  <c r="AF201" i="1"/>
  <c r="L201" i="1"/>
  <c r="K201" i="1"/>
  <c r="BX200" i="1"/>
  <c r="BW200" i="1"/>
  <c r="BV200" i="1"/>
  <c r="BP200" i="1"/>
  <c r="BO200" i="1"/>
  <c r="BN200" i="1"/>
  <c r="BM200" i="1"/>
  <c r="BL200" i="1"/>
  <c r="BK200" i="1"/>
  <c r="BH200" i="1"/>
  <c r="BG200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L200" i="1"/>
  <c r="K200" i="1"/>
  <c r="BX199" i="1"/>
  <c r="BW199" i="1"/>
  <c r="BV199" i="1"/>
  <c r="BP199" i="1"/>
  <c r="BO199" i="1"/>
  <c r="BN199" i="1"/>
  <c r="BM199" i="1"/>
  <c r="BL199" i="1"/>
  <c r="BK199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L199" i="1"/>
  <c r="K199" i="1"/>
  <c r="BX198" i="1"/>
  <c r="BW198" i="1"/>
  <c r="BV198" i="1"/>
  <c r="BP198" i="1"/>
  <c r="BO198" i="1"/>
  <c r="BN198" i="1"/>
  <c r="BM198" i="1"/>
  <c r="BL198" i="1"/>
  <c r="BK198" i="1"/>
  <c r="BH198" i="1"/>
  <c r="BG198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L198" i="1"/>
  <c r="K198" i="1"/>
  <c r="BX197" i="1"/>
  <c r="BW197" i="1"/>
  <c r="BV197" i="1"/>
  <c r="BP197" i="1"/>
  <c r="BO197" i="1"/>
  <c r="BN197" i="1"/>
  <c r="BM197" i="1"/>
  <c r="BL197" i="1"/>
  <c r="BK197" i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L197" i="1"/>
  <c r="K197" i="1"/>
  <c r="BX196" i="1"/>
  <c r="BW196" i="1"/>
  <c r="BV196" i="1"/>
  <c r="BP196" i="1"/>
  <c r="BO196" i="1"/>
  <c r="BN196" i="1"/>
  <c r="BM196" i="1"/>
  <c r="BL196" i="1"/>
  <c r="BK196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L196" i="1"/>
  <c r="K196" i="1"/>
  <c r="BX195" i="1"/>
  <c r="BW195" i="1"/>
  <c r="BV195" i="1"/>
  <c r="BP195" i="1"/>
  <c r="BO195" i="1"/>
  <c r="BN195" i="1"/>
  <c r="BM195" i="1"/>
  <c r="BL195" i="1"/>
  <c r="BK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L195" i="1"/>
  <c r="K195" i="1"/>
  <c r="BX194" i="1"/>
  <c r="BW194" i="1"/>
  <c r="BV194" i="1"/>
  <c r="BP194" i="1"/>
  <c r="BO194" i="1"/>
  <c r="BN194" i="1"/>
  <c r="BM194" i="1"/>
  <c r="BL194" i="1"/>
  <c r="BK194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L194" i="1"/>
  <c r="AK194" i="1"/>
  <c r="AJ194" i="1"/>
  <c r="AI194" i="1"/>
  <c r="AH194" i="1"/>
  <c r="AG194" i="1"/>
  <c r="AF194" i="1"/>
  <c r="L194" i="1"/>
  <c r="K194" i="1"/>
  <c r="BW193" i="1"/>
  <c r="BV193" i="1"/>
  <c r="BP193" i="1"/>
  <c r="BO193" i="1"/>
  <c r="BN193" i="1"/>
  <c r="BM193" i="1"/>
  <c r="BL193" i="1"/>
  <c r="BK193" i="1"/>
  <c r="BH193" i="1"/>
  <c r="BG193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L193" i="1"/>
  <c r="K193" i="1"/>
  <c r="BW192" i="1"/>
  <c r="BV192" i="1"/>
  <c r="BP192" i="1"/>
  <c r="BO192" i="1"/>
  <c r="BN192" i="1"/>
  <c r="BM192" i="1"/>
  <c r="BL192" i="1"/>
  <c r="BK192" i="1"/>
  <c r="BH192" i="1"/>
  <c r="BG192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L192" i="1"/>
  <c r="AK192" i="1"/>
  <c r="AJ192" i="1"/>
  <c r="AI192" i="1"/>
  <c r="AH192" i="1"/>
  <c r="AG192" i="1"/>
  <c r="AF192" i="1"/>
  <c r="L192" i="1"/>
  <c r="K192" i="1"/>
  <c r="BX191" i="1"/>
  <c r="BW191" i="1"/>
  <c r="BV191" i="1"/>
  <c r="BP191" i="1"/>
  <c r="BO191" i="1"/>
  <c r="BN191" i="1"/>
  <c r="BM191" i="1"/>
  <c r="BL191" i="1"/>
  <c r="BK191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L191" i="1"/>
  <c r="K191" i="1"/>
  <c r="BX190" i="1"/>
  <c r="BW190" i="1"/>
  <c r="BV190" i="1"/>
  <c r="BP190" i="1"/>
  <c r="BO190" i="1"/>
  <c r="BN190" i="1"/>
  <c r="BM190" i="1"/>
  <c r="BL190" i="1"/>
  <c r="BK190" i="1"/>
  <c r="BH190" i="1"/>
  <c r="BG190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K190" i="1"/>
  <c r="AJ190" i="1"/>
  <c r="AI190" i="1"/>
  <c r="AH190" i="1"/>
  <c r="AG190" i="1"/>
  <c r="AF190" i="1"/>
  <c r="L190" i="1"/>
  <c r="K190" i="1"/>
  <c r="BX189" i="1"/>
  <c r="BW189" i="1"/>
  <c r="BV189" i="1"/>
  <c r="BP189" i="1"/>
  <c r="BO189" i="1"/>
  <c r="BN189" i="1"/>
  <c r="BM189" i="1"/>
  <c r="BL189" i="1"/>
  <c r="BK189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L189" i="1"/>
  <c r="K189" i="1"/>
  <c r="BX188" i="1"/>
  <c r="BW188" i="1"/>
  <c r="BV188" i="1"/>
  <c r="BP188" i="1"/>
  <c r="BO188" i="1"/>
  <c r="BN188" i="1"/>
  <c r="BM188" i="1"/>
  <c r="BL188" i="1"/>
  <c r="BK188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L188" i="1"/>
  <c r="K188" i="1"/>
  <c r="BX187" i="1"/>
  <c r="BW187" i="1"/>
  <c r="BV187" i="1"/>
  <c r="BP187" i="1"/>
  <c r="BO187" i="1"/>
  <c r="BN187" i="1"/>
  <c r="BM187" i="1"/>
  <c r="BL187" i="1"/>
  <c r="BK187" i="1"/>
  <c r="BH187" i="1"/>
  <c r="BG187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L187" i="1"/>
  <c r="AK187" i="1"/>
  <c r="AJ187" i="1"/>
  <c r="AI187" i="1"/>
  <c r="AH187" i="1"/>
  <c r="AG187" i="1"/>
  <c r="AF187" i="1"/>
  <c r="L187" i="1"/>
  <c r="K187" i="1"/>
  <c r="BX186" i="1"/>
  <c r="BW186" i="1"/>
  <c r="BV186" i="1"/>
  <c r="BP186" i="1"/>
  <c r="BO186" i="1"/>
  <c r="BN186" i="1"/>
  <c r="BM186" i="1"/>
  <c r="BL186" i="1"/>
  <c r="BK186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L186" i="1"/>
  <c r="K186" i="1"/>
  <c r="BX185" i="1"/>
  <c r="BW185" i="1"/>
  <c r="BV185" i="1"/>
  <c r="BP185" i="1"/>
  <c r="BO185" i="1"/>
  <c r="BN185" i="1"/>
  <c r="BM185" i="1"/>
  <c r="BL185" i="1"/>
  <c r="BK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L185" i="1"/>
  <c r="K185" i="1"/>
  <c r="BX184" i="1"/>
  <c r="BW184" i="1"/>
  <c r="BV184" i="1"/>
  <c r="BP184" i="1"/>
  <c r="BO184" i="1"/>
  <c r="BN184" i="1"/>
  <c r="BM184" i="1"/>
  <c r="BL184" i="1"/>
  <c r="BK184" i="1"/>
  <c r="BH184" i="1"/>
  <c r="BG184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L184" i="1"/>
  <c r="AK184" i="1"/>
  <c r="AJ184" i="1"/>
  <c r="AI184" i="1"/>
  <c r="AH184" i="1"/>
  <c r="AG184" i="1"/>
  <c r="AF184" i="1"/>
  <c r="L184" i="1"/>
  <c r="K184" i="1"/>
  <c r="BX183" i="1"/>
  <c r="BW183" i="1"/>
  <c r="BV183" i="1"/>
  <c r="BP183" i="1"/>
  <c r="BO183" i="1"/>
  <c r="BN183" i="1"/>
  <c r="BM183" i="1"/>
  <c r="BL183" i="1"/>
  <c r="BK183" i="1"/>
  <c r="BH183" i="1"/>
  <c r="BG183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L183" i="1"/>
  <c r="AK183" i="1"/>
  <c r="AJ183" i="1"/>
  <c r="AI183" i="1"/>
  <c r="AH183" i="1"/>
  <c r="AG183" i="1"/>
  <c r="AF183" i="1"/>
  <c r="L183" i="1"/>
  <c r="K183" i="1"/>
  <c r="BX182" i="1"/>
  <c r="BW182" i="1"/>
  <c r="BV182" i="1"/>
  <c r="BP182" i="1"/>
  <c r="BO182" i="1"/>
  <c r="BN182" i="1"/>
  <c r="BM182" i="1"/>
  <c r="BL182" i="1"/>
  <c r="BK182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K182" i="1"/>
  <c r="AJ182" i="1"/>
  <c r="AI182" i="1"/>
  <c r="AH182" i="1"/>
  <c r="AG182" i="1"/>
  <c r="AF182" i="1"/>
  <c r="L182" i="1"/>
  <c r="K182" i="1"/>
  <c r="BX181" i="1"/>
  <c r="BW181" i="1"/>
  <c r="BV181" i="1"/>
  <c r="BP181" i="1"/>
  <c r="BO181" i="1"/>
  <c r="BN181" i="1"/>
  <c r="BM181" i="1"/>
  <c r="BL181" i="1"/>
  <c r="BK181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L181" i="1"/>
  <c r="K181" i="1"/>
  <c r="BX180" i="1"/>
  <c r="BW180" i="1"/>
  <c r="BV180" i="1"/>
  <c r="BP180" i="1"/>
  <c r="BO180" i="1"/>
  <c r="BN180" i="1"/>
  <c r="BM180" i="1"/>
  <c r="BL180" i="1"/>
  <c r="BK180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L180" i="1"/>
  <c r="AK180" i="1"/>
  <c r="AJ180" i="1"/>
  <c r="AI180" i="1"/>
  <c r="AH180" i="1"/>
  <c r="AG180" i="1"/>
  <c r="AF180" i="1"/>
  <c r="L180" i="1"/>
  <c r="K180" i="1"/>
  <c r="BX179" i="1"/>
  <c r="BW179" i="1"/>
  <c r="BV179" i="1"/>
  <c r="BP179" i="1"/>
  <c r="BO179" i="1"/>
  <c r="BN179" i="1"/>
  <c r="BM179" i="1"/>
  <c r="BL179" i="1"/>
  <c r="BK179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L179" i="1"/>
  <c r="K179" i="1"/>
  <c r="BX178" i="1"/>
  <c r="BW178" i="1"/>
  <c r="BV178" i="1"/>
  <c r="BP178" i="1"/>
  <c r="BO178" i="1"/>
  <c r="BN178" i="1"/>
  <c r="BM178" i="1"/>
  <c r="BL178" i="1"/>
  <c r="BK178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L178" i="1"/>
  <c r="AK178" i="1"/>
  <c r="AJ178" i="1"/>
  <c r="AI178" i="1"/>
  <c r="AH178" i="1"/>
  <c r="AG178" i="1"/>
  <c r="AF178" i="1"/>
  <c r="L178" i="1"/>
  <c r="K178" i="1"/>
  <c r="BX177" i="1"/>
  <c r="BW177" i="1"/>
  <c r="BV177" i="1"/>
  <c r="BP177" i="1"/>
  <c r="BO177" i="1"/>
  <c r="BN177" i="1"/>
  <c r="BM177" i="1"/>
  <c r="BL177" i="1"/>
  <c r="BK177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L177" i="1"/>
  <c r="K177" i="1"/>
  <c r="BX176" i="1"/>
  <c r="BW176" i="1"/>
  <c r="BV176" i="1"/>
  <c r="BP176" i="1"/>
  <c r="BO176" i="1"/>
  <c r="BN176" i="1"/>
  <c r="BM176" i="1"/>
  <c r="BL176" i="1"/>
  <c r="BK176" i="1"/>
  <c r="BH176" i="1"/>
  <c r="BG176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AS176" i="1"/>
  <c r="AR176" i="1"/>
  <c r="AQ176" i="1"/>
  <c r="AP176" i="1"/>
  <c r="AO176" i="1"/>
  <c r="AN176" i="1"/>
  <c r="AM176" i="1"/>
  <c r="AL176" i="1"/>
  <c r="AK176" i="1"/>
  <c r="AJ176" i="1"/>
  <c r="AI176" i="1"/>
  <c r="AH176" i="1"/>
  <c r="AG176" i="1"/>
  <c r="AF176" i="1"/>
  <c r="L176" i="1"/>
  <c r="K176" i="1"/>
  <c r="BX175" i="1"/>
  <c r="BW175" i="1"/>
  <c r="BV175" i="1"/>
  <c r="BP175" i="1"/>
  <c r="BO175" i="1"/>
  <c r="BN175" i="1"/>
  <c r="BM175" i="1"/>
  <c r="BL175" i="1"/>
  <c r="BK175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L175" i="1"/>
  <c r="K175" i="1"/>
  <c r="BX174" i="1"/>
  <c r="BW174" i="1"/>
  <c r="BV174" i="1"/>
  <c r="BP174" i="1"/>
  <c r="BO174" i="1"/>
  <c r="BN174" i="1"/>
  <c r="BM174" i="1"/>
  <c r="BL174" i="1"/>
  <c r="BK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L174" i="1"/>
  <c r="K174" i="1"/>
  <c r="BX173" i="1"/>
  <c r="BW173" i="1"/>
  <c r="BV173" i="1"/>
  <c r="BP173" i="1"/>
  <c r="BO173" i="1"/>
  <c r="BN173" i="1"/>
  <c r="BM173" i="1"/>
  <c r="BL173" i="1"/>
  <c r="BK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L173" i="1"/>
  <c r="K173" i="1"/>
  <c r="BX172" i="1"/>
  <c r="BW172" i="1"/>
  <c r="BV172" i="1"/>
  <c r="BP172" i="1"/>
  <c r="BO172" i="1"/>
  <c r="BN172" i="1"/>
  <c r="BM172" i="1"/>
  <c r="BL172" i="1"/>
  <c r="BK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L172" i="1"/>
  <c r="K172" i="1"/>
  <c r="BX171" i="1"/>
  <c r="BW171" i="1"/>
  <c r="BV171" i="1"/>
  <c r="BX193" i="1" s="1"/>
  <c r="BP171" i="1"/>
  <c r="BO171" i="1"/>
  <c r="BN171" i="1"/>
  <c r="BM171" i="1"/>
  <c r="BL171" i="1"/>
  <c r="BK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L171" i="1"/>
  <c r="K171" i="1"/>
  <c r="BX170" i="1"/>
  <c r="BW170" i="1"/>
  <c r="BV170" i="1"/>
  <c r="BX192" i="1" s="1"/>
  <c r="BP170" i="1"/>
  <c r="BO170" i="1"/>
  <c r="BN170" i="1"/>
  <c r="BM170" i="1"/>
  <c r="BL170" i="1"/>
  <c r="BK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L170" i="1"/>
  <c r="K170" i="1"/>
  <c r="BX169" i="1"/>
  <c r="BW169" i="1"/>
  <c r="BV169" i="1"/>
  <c r="BP169" i="1"/>
  <c r="BO169" i="1"/>
  <c r="BN169" i="1"/>
  <c r="BM169" i="1"/>
  <c r="BL169" i="1"/>
  <c r="BK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L169" i="1"/>
  <c r="K169" i="1"/>
  <c r="BX168" i="1"/>
  <c r="BW168" i="1"/>
  <c r="BV168" i="1"/>
  <c r="BX205" i="1" s="1"/>
  <c r="BP168" i="1"/>
  <c r="BO168" i="1"/>
  <c r="BN168" i="1"/>
  <c r="BM168" i="1"/>
  <c r="BL168" i="1"/>
  <c r="BK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L168" i="1"/>
  <c r="K168" i="1"/>
  <c r="BX167" i="1"/>
  <c r="BW167" i="1"/>
  <c r="BV167" i="1"/>
  <c r="BX204" i="1" s="1"/>
  <c r="BP167" i="1"/>
  <c r="BO167" i="1"/>
  <c r="BN167" i="1"/>
  <c r="BM167" i="1"/>
  <c r="BL167" i="1"/>
  <c r="BK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L167" i="1"/>
  <c r="K167" i="1"/>
  <c r="L166" i="1"/>
  <c r="K166" i="1"/>
  <c r="L165" i="1"/>
  <c r="K165" i="1"/>
  <c r="L164" i="1"/>
  <c r="K164" i="1"/>
  <c r="L163" i="1"/>
  <c r="K163" i="1"/>
  <c r="L162" i="1"/>
  <c r="K162" i="1"/>
  <c r="L161" i="1"/>
  <c r="K161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BX144" i="1"/>
  <c r="BW144" i="1"/>
  <c r="BV144" i="1"/>
  <c r="BP144" i="1"/>
  <c r="BO144" i="1"/>
  <c r="BN144" i="1"/>
  <c r="BM144" i="1"/>
  <c r="BL144" i="1"/>
  <c r="BK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L144" i="1"/>
  <c r="K144" i="1"/>
  <c r="BX143" i="1"/>
  <c r="BW143" i="1"/>
  <c r="BV143" i="1"/>
  <c r="BP143" i="1"/>
  <c r="BO143" i="1"/>
  <c r="BN143" i="1"/>
  <c r="BM143" i="1"/>
  <c r="BL143" i="1"/>
  <c r="BK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L143" i="1"/>
  <c r="AK143" i="1"/>
  <c r="AJ143" i="1"/>
  <c r="AI143" i="1"/>
  <c r="AH143" i="1"/>
  <c r="AG143" i="1"/>
  <c r="AF143" i="1"/>
  <c r="L143" i="1"/>
  <c r="K143" i="1"/>
  <c r="BW142" i="1"/>
  <c r="BX142" i="1" s="1"/>
  <c r="BV142" i="1"/>
  <c r="BX221" i="1" s="1"/>
  <c r="BP142" i="1"/>
  <c r="BO142" i="1"/>
  <c r="BN142" i="1"/>
  <c r="BM142" i="1"/>
  <c r="BL142" i="1"/>
  <c r="BK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L142" i="1"/>
  <c r="AK142" i="1"/>
  <c r="AJ142" i="1"/>
  <c r="AI142" i="1"/>
  <c r="AH142" i="1"/>
  <c r="AG142" i="1"/>
  <c r="AF142" i="1"/>
  <c r="L142" i="1"/>
  <c r="K142" i="1"/>
  <c r="BX141" i="1"/>
  <c r="BW141" i="1"/>
  <c r="BV141" i="1"/>
  <c r="BP141" i="1"/>
  <c r="BO141" i="1"/>
  <c r="BN141" i="1"/>
  <c r="BM141" i="1"/>
  <c r="BL141" i="1"/>
  <c r="BK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L141" i="1"/>
  <c r="K141" i="1"/>
  <c r="BX140" i="1"/>
  <c r="BW140" i="1"/>
  <c r="BX231" i="1" s="1"/>
  <c r="BV140" i="1"/>
  <c r="BP140" i="1"/>
  <c r="BO140" i="1"/>
  <c r="BN140" i="1"/>
  <c r="BM140" i="1"/>
  <c r="BL140" i="1"/>
  <c r="BK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L140" i="1"/>
  <c r="K140" i="1"/>
  <c r="BX139" i="1"/>
  <c r="BW139" i="1"/>
  <c r="BX232" i="1" s="1"/>
  <c r="BV139" i="1"/>
  <c r="BP139" i="1"/>
  <c r="BO139" i="1"/>
  <c r="BN139" i="1"/>
  <c r="BM139" i="1"/>
  <c r="BL139" i="1"/>
  <c r="BK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L139" i="1"/>
  <c r="K139" i="1"/>
  <c r="BX138" i="1"/>
  <c r="BW138" i="1"/>
  <c r="BV138" i="1"/>
  <c r="BP138" i="1"/>
  <c r="BO138" i="1"/>
  <c r="BN138" i="1"/>
  <c r="BM138" i="1"/>
  <c r="BL138" i="1"/>
  <c r="BK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L138" i="1"/>
  <c r="K138" i="1"/>
  <c r="BX137" i="1"/>
  <c r="BW137" i="1"/>
  <c r="BV137" i="1"/>
  <c r="BX228" i="1" s="1"/>
  <c r="BP137" i="1"/>
  <c r="BO137" i="1"/>
  <c r="BN137" i="1"/>
  <c r="BM137" i="1"/>
  <c r="BL137" i="1"/>
  <c r="BK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L137" i="1"/>
  <c r="K137" i="1"/>
  <c r="BX136" i="1"/>
  <c r="BW136" i="1"/>
  <c r="BV136" i="1"/>
  <c r="BX227" i="1" s="1"/>
  <c r="BP136" i="1"/>
  <c r="BO136" i="1"/>
  <c r="BN136" i="1"/>
  <c r="BM136" i="1"/>
  <c r="BL136" i="1"/>
  <c r="BK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L136" i="1"/>
  <c r="AK136" i="1"/>
  <c r="AJ136" i="1"/>
  <c r="AI136" i="1"/>
  <c r="AH136" i="1"/>
  <c r="AG136" i="1"/>
  <c r="AF136" i="1"/>
  <c r="L136" i="1"/>
  <c r="K136" i="1"/>
  <c r="BW135" i="1"/>
  <c r="BX223" i="1" s="1"/>
  <c r="BV135" i="1"/>
  <c r="BP135" i="1"/>
  <c r="BO135" i="1"/>
  <c r="BN135" i="1"/>
  <c r="BM135" i="1"/>
  <c r="BL135" i="1"/>
  <c r="BK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L135" i="1"/>
  <c r="K135" i="1"/>
  <c r="BW134" i="1"/>
  <c r="BX226" i="1" s="1"/>
  <c r="BV134" i="1"/>
  <c r="BP134" i="1"/>
  <c r="BO134" i="1"/>
  <c r="BN134" i="1"/>
  <c r="BM134" i="1"/>
  <c r="BL134" i="1"/>
  <c r="BK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L134" i="1"/>
  <c r="K134" i="1"/>
  <c r="BW133" i="1"/>
  <c r="BX225" i="1" s="1"/>
  <c r="BV133" i="1"/>
  <c r="BP133" i="1"/>
  <c r="BO133" i="1"/>
  <c r="BN133" i="1"/>
  <c r="BM133" i="1"/>
  <c r="BL133" i="1"/>
  <c r="BK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L133" i="1"/>
  <c r="K133" i="1"/>
  <c r="L132" i="1"/>
  <c r="K132" i="1"/>
  <c r="BX131" i="1"/>
  <c r="BW131" i="1"/>
  <c r="BV131" i="1"/>
  <c r="BX229" i="1" s="1"/>
  <c r="BP131" i="1"/>
  <c r="BO131" i="1"/>
  <c r="BN131" i="1"/>
  <c r="BM131" i="1"/>
  <c r="BL131" i="1"/>
  <c r="BK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L131" i="1"/>
  <c r="K131" i="1"/>
  <c r="BX130" i="1"/>
  <c r="BW130" i="1"/>
  <c r="BV130" i="1"/>
  <c r="BX230" i="1" s="1"/>
  <c r="BP130" i="1"/>
  <c r="BO130" i="1"/>
  <c r="BN130" i="1"/>
  <c r="BM130" i="1"/>
  <c r="BL130" i="1"/>
  <c r="BK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L130" i="1"/>
  <c r="K130" i="1"/>
  <c r="BX129" i="1"/>
  <c r="BW129" i="1"/>
  <c r="BX233" i="1" s="1"/>
  <c r="BV129" i="1"/>
  <c r="BP129" i="1"/>
  <c r="BO129" i="1"/>
  <c r="BN129" i="1"/>
  <c r="BM129" i="1"/>
  <c r="BL129" i="1"/>
  <c r="BK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L129" i="1"/>
  <c r="K129" i="1"/>
  <c r="BX128" i="1"/>
  <c r="BW128" i="1"/>
  <c r="BV128" i="1"/>
  <c r="BP128" i="1"/>
  <c r="BO128" i="1"/>
  <c r="BN128" i="1"/>
  <c r="BM128" i="1"/>
  <c r="BL128" i="1"/>
  <c r="BK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L128" i="1"/>
  <c r="K128" i="1"/>
  <c r="BX127" i="1"/>
  <c r="BW127" i="1"/>
  <c r="BX243" i="1" s="1"/>
  <c r="BV127" i="1"/>
  <c r="BP127" i="1"/>
  <c r="BO127" i="1"/>
  <c r="BN127" i="1"/>
  <c r="BM127" i="1"/>
  <c r="BL127" i="1"/>
  <c r="BK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L127" i="1"/>
  <c r="K127" i="1"/>
  <c r="BX126" i="1"/>
  <c r="BW126" i="1"/>
  <c r="BX241" i="1" s="1"/>
  <c r="BV126" i="1"/>
  <c r="BP126" i="1"/>
  <c r="BO126" i="1"/>
  <c r="BN126" i="1"/>
  <c r="BM126" i="1"/>
  <c r="BL126" i="1"/>
  <c r="BK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L126" i="1"/>
  <c r="K126" i="1"/>
  <c r="BX125" i="1"/>
  <c r="BW125" i="1"/>
  <c r="BX242" i="1" s="1"/>
  <c r="BV125" i="1"/>
  <c r="BP125" i="1"/>
  <c r="BO125" i="1"/>
  <c r="BN125" i="1"/>
  <c r="BM125" i="1"/>
  <c r="BL125" i="1"/>
  <c r="BK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L125" i="1"/>
  <c r="K125" i="1"/>
  <c r="BX124" i="1"/>
  <c r="BW124" i="1"/>
  <c r="BX245" i="1" s="1"/>
  <c r="BV124" i="1"/>
  <c r="BP124" i="1"/>
  <c r="BO124" i="1"/>
  <c r="BN124" i="1"/>
  <c r="BM124" i="1"/>
  <c r="BL124" i="1"/>
  <c r="BK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L124" i="1"/>
  <c r="K124" i="1"/>
  <c r="BX123" i="1"/>
  <c r="BW123" i="1"/>
  <c r="BX240" i="1" s="1"/>
  <c r="BV123" i="1"/>
  <c r="BP123" i="1"/>
  <c r="BO123" i="1"/>
  <c r="BN123" i="1"/>
  <c r="BM123" i="1"/>
  <c r="BL123" i="1"/>
  <c r="BK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L123" i="1"/>
  <c r="K123" i="1"/>
  <c r="BX122" i="1"/>
  <c r="BW122" i="1"/>
  <c r="BX246" i="1" s="1"/>
  <c r="BV122" i="1"/>
  <c r="BP122" i="1"/>
  <c r="BO122" i="1"/>
  <c r="BN122" i="1"/>
  <c r="BM122" i="1"/>
  <c r="BL122" i="1"/>
  <c r="BK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L122" i="1"/>
  <c r="K122" i="1"/>
  <c r="BX121" i="1"/>
  <c r="BW121" i="1"/>
  <c r="BX238" i="1" s="1"/>
  <c r="BV121" i="1"/>
  <c r="BP121" i="1"/>
  <c r="BO121" i="1"/>
  <c r="BN121" i="1"/>
  <c r="BM121" i="1"/>
  <c r="BL121" i="1"/>
  <c r="BK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L121" i="1"/>
  <c r="K121" i="1"/>
  <c r="BX120" i="1"/>
  <c r="BW120" i="1"/>
  <c r="BX239" i="1" s="1"/>
  <c r="BV120" i="1"/>
  <c r="BP120" i="1"/>
  <c r="BO120" i="1"/>
  <c r="BN120" i="1"/>
  <c r="BM120" i="1"/>
  <c r="BL120" i="1"/>
  <c r="BK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L120" i="1"/>
  <c r="K120" i="1"/>
  <c r="BX119" i="1"/>
  <c r="BW119" i="1"/>
  <c r="BX237" i="1" s="1"/>
  <c r="BV119" i="1"/>
  <c r="BP119" i="1"/>
  <c r="BO119" i="1"/>
  <c r="BN119" i="1"/>
  <c r="BM119" i="1"/>
  <c r="BL119" i="1"/>
  <c r="BK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L119" i="1"/>
  <c r="K119" i="1"/>
  <c r="BX118" i="1"/>
  <c r="BW118" i="1"/>
  <c r="BV118" i="1"/>
  <c r="BX236" i="1" s="1"/>
  <c r="BP118" i="1"/>
  <c r="BO118" i="1"/>
  <c r="BN118" i="1"/>
  <c r="BM118" i="1"/>
  <c r="BL118" i="1"/>
  <c r="BK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L118" i="1"/>
  <c r="K118" i="1"/>
  <c r="BX117" i="1"/>
  <c r="BW117" i="1"/>
  <c r="BX244" i="1" s="1"/>
  <c r="BV117" i="1"/>
  <c r="BP117" i="1"/>
  <c r="BO117" i="1"/>
  <c r="BN117" i="1"/>
  <c r="BM117" i="1"/>
  <c r="BL117" i="1"/>
  <c r="BK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L117" i="1"/>
  <c r="K117" i="1"/>
  <c r="BX116" i="1"/>
  <c r="BW116" i="1"/>
  <c r="BV116" i="1"/>
  <c r="BX235" i="1" s="1"/>
  <c r="BP116" i="1"/>
  <c r="BO116" i="1"/>
  <c r="BN116" i="1"/>
  <c r="BM116" i="1"/>
  <c r="BL116" i="1"/>
  <c r="BK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L116" i="1"/>
  <c r="K116" i="1"/>
  <c r="BX115" i="1"/>
  <c r="BW115" i="1"/>
  <c r="BX256" i="1" s="1"/>
  <c r="BV115" i="1"/>
  <c r="BP115" i="1"/>
  <c r="BO115" i="1"/>
  <c r="BN115" i="1"/>
  <c r="BM115" i="1"/>
  <c r="BL115" i="1"/>
  <c r="BK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L115" i="1"/>
  <c r="K115" i="1"/>
  <c r="BX114" i="1"/>
  <c r="BW114" i="1"/>
  <c r="BX253" i="1" s="1"/>
  <c r="BV114" i="1"/>
  <c r="BP114" i="1"/>
  <c r="BO114" i="1"/>
  <c r="BN114" i="1"/>
  <c r="BM114" i="1"/>
  <c r="BL114" i="1"/>
  <c r="BK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L114" i="1"/>
  <c r="K114" i="1"/>
  <c r="BX113" i="1"/>
  <c r="BW113" i="1"/>
  <c r="BX255" i="1" s="1"/>
  <c r="BV113" i="1"/>
  <c r="BP113" i="1"/>
  <c r="BO113" i="1"/>
  <c r="BN113" i="1"/>
  <c r="BM113" i="1"/>
  <c r="BL113" i="1"/>
  <c r="BK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L113" i="1"/>
  <c r="K113" i="1"/>
  <c r="BW112" i="1"/>
  <c r="BX252" i="1" s="1"/>
  <c r="BV112" i="1"/>
  <c r="BP112" i="1"/>
  <c r="BO112" i="1"/>
  <c r="BN112" i="1"/>
  <c r="BM112" i="1"/>
  <c r="BL112" i="1"/>
  <c r="BK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L112" i="1"/>
  <c r="K112" i="1"/>
  <c r="BX111" i="1"/>
  <c r="BW111" i="1"/>
  <c r="BX247" i="1" s="1"/>
  <c r="BV111" i="1"/>
  <c r="BP111" i="1"/>
  <c r="BO111" i="1"/>
  <c r="BN111" i="1"/>
  <c r="BM111" i="1"/>
  <c r="BL111" i="1"/>
  <c r="BK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L111" i="1"/>
  <c r="K111" i="1"/>
  <c r="BX110" i="1"/>
  <c r="BW110" i="1"/>
  <c r="BX251" i="1" s="1"/>
  <c r="BV110" i="1"/>
  <c r="BP110" i="1"/>
  <c r="BO110" i="1"/>
  <c r="BN110" i="1"/>
  <c r="BM110" i="1"/>
  <c r="BL110" i="1"/>
  <c r="BK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L110" i="1"/>
  <c r="K110" i="1"/>
  <c r="BX109" i="1"/>
  <c r="BW109" i="1"/>
  <c r="BX250" i="1" s="1"/>
  <c r="BV109" i="1"/>
  <c r="BP109" i="1"/>
  <c r="BO109" i="1"/>
  <c r="BN109" i="1"/>
  <c r="BM109" i="1"/>
  <c r="BL109" i="1"/>
  <c r="BK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L109" i="1"/>
  <c r="AK109" i="1"/>
  <c r="AJ109" i="1"/>
  <c r="AI109" i="1"/>
  <c r="AH109" i="1"/>
  <c r="AG109" i="1"/>
  <c r="AF109" i="1"/>
  <c r="L109" i="1"/>
  <c r="K109" i="1"/>
  <c r="BX108" i="1"/>
  <c r="BW108" i="1"/>
  <c r="BX249" i="1" s="1"/>
  <c r="BV108" i="1"/>
  <c r="BP108" i="1"/>
  <c r="BO108" i="1"/>
  <c r="BN108" i="1"/>
  <c r="BM108" i="1"/>
  <c r="BL108" i="1"/>
  <c r="BK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L108" i="1"/>
  <c r="K108" i="1"/>
  <c r="BX107" i="1"/>
  <c r="BW107" i="1"/>
  <c r="BX248" i="1" s="1"/>
  <c r="BV107" i="1"/>
  <c r="BX112" i="1" s="1"/>
  <c r="BP107" i="1"/>
  <c r="BO107" i="1"/>
  <c r="BN107" i="1"/>
  <c r="BM107" i="1"/>
  <c r="BL107" i="1"/>
  <c r="BK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L107" i="1"/>
  <c r="K107" i="1"/>
  <c r="BX106" i="1"/>
  <c r="BW106" i="1"/>
  <c r="BX254" i="1" s="1"/>
  <c r="BV106" i="1"/>
  <c r="BP106" i="1"/>
  <c r="BO106" i="1"/>
  <c r="BN106" i="1"/>
  <c r="BM106" i="1"/>
  <c r="BL106" i="1"/>
  <c r="BK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L106" i="1"/>
  <c r="K106" i="1"/>
  <c r="BX105" i="1"/>
  <c r="BW105" i="1"/>
  <c r="BV105" i="1"/>
  <c r="BP105" i="1"/>
  <c r="BO105" i="1"/>
  <c r="BN105" i="1"/>
  <c r="BM105" i="1"/>
  <c r="BL105" i="1"/>
  <c r="BK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L105" i="1"/>
  <c r="K105" i="1"/>
  <c r="BX104" i="1"/>
  <c r="BW104" i="1"/>
  <c r="BX259" i="1" s="1"/>
  <c r="BV104" i="1"/>
  <c r="BP104" i="1"/>
  <c r="BO104" i="1"/>
  <c r="BN104" i="1"/>
  <c r="BM104" i="1"/>
  <c r="BL104" i="1"/>
  <c r="BK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L104" i="1"/>
  <c r="AK104" i="1"/>
  <c r="AJ104" i="1"/>
  <c r="AI104" i="1"/>
  <c r="AH104" i="1"/>
  <c r="AG104" i="1"/>
  <c r="AF104" i="1"/>
  <c r="L104" i="1"/>
  <c r="K104" i="1"/>
  <c r="BX103" i="1"/>
  <c r="BW103" i="1"/>
  <c r="BX272" i="1" s="1"/>
  <c r="BV103" i="1"/>
  <c r="BP103" i="1"/>
  <c r="BO103" i="1"/>
  <c r="BN103" i="1"/>
  <c r="BM103" i="1"/>
  <c r="BL103" i="1"/>
  <c r="BK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L103" i="1"/>
  <c r="K103" i="1"/>
  <c r="BX102" i="1"/>
  <c r="BW102" i="1"/>
  <c r="BX262" i="1" s="1"/>
  <c r="BV102" i="1"/>
  <c r="BP102" i="1"/>
  <c r="BO102" i="1"/>
  <c r="BN102" i="1"/>
  <c r="BM102" i="1"/>
  <c r="BL102" i="1"/>
  <c r="BK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L102" i="1"/>
  <c r="AK102" i="1"/>
  <c r="AJ102" i="1"/>
  <c r="AI102" i="1"/>
  <c r="AH102" i="1"/>
  <c r="AG102" i="1"/>
  <c r="AF102" i="1"/>
  <c r="L102" i="1"/>
  <c r="K102" i="1"/>
  <c r="BX101" i="1"/>
  <c r="BW101" i="1"/>
  <c r="BX271" i="1" s="1"/>
  <c r="BV101" i="1"/>
  <c r="BP101" i="1"/>
  <c r="BO101" i="1"/>
  <c r="BN101" i="1"/>
  <c r="BM101" i="1"/>
  <c r="BL101" i="1"/>
  <c r="BK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L101" i="1"/>
  <c r="K101" i="1"/>
  <c r="BX100" i="1"/>
  <c r="BW100" i="1"/>
  <c r="BX263" i="1" s="1"/>
  <c r="BV100" i="1"/>
  <c r="BP100" i="1"/>
  <c r="BO100" i="1"/>
  <c r="BN100" i="1"/>
  <c r="BM100" i="1"/>
  <c r="BL100" i="1"/>
  <c r="BK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L100" i="1"/>
  <c r="AK100" i="1"/>
  <c r="AJ100" i="1"/>
  <c r="AI100" i="1"/>
  <c r="AH100" i="1"/>
  <c r="AG100" i="1"/>
  <c r="AF100" i="1"/>
  <c r="L100" i="1"/>
  <c r="K100" i="1"/>
  <c r="BX99" i="1"/>
  <c r="BW99" i="1"/>
  <c r="BX260" i="1" s="1"/>
  <c r="BV99" i="1"/>
  <c r="BP99" i="1"/>
  <c r="BO99" i="1"/>
  <c r="BN99" i="1"/>
  <c r="BM99" i="1"/>
  <c r="BL99" i="1"/>
  <c r="BK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L99" i="1"/>
  <c r="AK99" i="1"/>
  <c r="AJ99" i="1"/>
  <c r="AI99" i="1"/>
  <c r="AH99" i="1"/>
  <c r="AG99" i="1"/>
  <c r="AF99" i="1"/>
  <c r="L99" i="1"/>
  <c r="K99" i="1"/>
  <c r="BX98" i="1"/>
  <c r="BW98" i="1"/>
  <c r="BX268" i="1" s="1"/>
  <c r="BV98" i="1"/>
  <c r="BP98" i="1"/>
  <c r="BO98" i="1"/>
  <c r="BN98" i="1"/>
  <c r="BM98" i="1"/>
  <c r="BL98" i="1"/>
  <c r="BK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L98" i="1"/>
  <c r="K98" i="1"/>
  <c r="BX97" i="1"/>
  <c r="BW97" i="1"/>
  <c r="BX269" i="1" s="1"/>
  <c r="BV97" i="1"/>
  <c r="BP97" i="1"/>
  <c r="BO97" i="1"/>
  <c r="BN97" i="1"/>
  <c r="BM97" i="1"/>
  <c r="BL97" i="1"/>
  <c r="BK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L97" i="1"/>
  <c r="K97" i="1"/>
  <c r="BX96" i="1"/>
  <c r="BW96" i="1"/>
  <c r="BX258" i="1" s="1"/>
  <c r="BV96" i="1"/>
  <c r="BP96" i="1"/>
  <c r="BO96" i="1"/>
  <c r="BN96" i="1"/>
  <c r="BM96" i="1"/>
  <c r="BL96" i="1"/>
  <c r="BK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L96" i="1"/>
  <c r="AK96" i="1"/>
  <c r="AJ96" i="1"/>
  <c r="AI96" i="1"/>
  <c r="AH96" i="1"/>
  <c r="AG96" i="1"/>
  <c r="AF96" i="1"/>
  <c r="L96" i="1"/>
  <c r="K96" i="1"/>
  <c r="BX95" i="1"/>
  <c r="BW95" i="1"/>
  <c r="BX270" i="1" s="1"/>
  <c r="BV95" i="1"/>
  <c r="BP95" i="1"/>
  <c r="BO95" i="1"/>
  <c r="BN95" i="1"/>
  <c r="BM95" i="1"/>
  <c r="BL95" i="1"/>
  <c r="BK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L95" i="1"/>
  <c r="K95" i="1"/>
  <c r="BX94" i="1"/>
  <c r="BW94" i="1"/>
  <c r="BX264" i="1" s="1"/>
  <c r="BV94" i="1"/>
  <c r="BP94" i="1"/>
  <c r="BO94" i="1"/>
  <c r="BN94" i="1"/>
  <c r="BM94" i="1"/>
  <c r="BL94" i="1"/>
  <c r="BK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L94" i="1"/>
  <c r="AK94" i="1"/>
  <c r="AJ94" i="1"/>
  <c r="AI94" i="1"/>
  <c r="AH94" i="1"/>
  <c r="AG94" i="1"/>
  <c r="AF94" i="1"/>
  <c r="L94" i="1"/>
  <c r="K94" i="1"/>
  <c r="BX93" i="1"/>
  <c r="BW93" i="1"/>
  <c r="BX267" i="1" s="1"/>
  <c r="BV93" i="1"/>
  <c r="BP93" i="1"/>
  <c r="BO93" i="1"/>
  <c r="BN93" i="1"/>
  <c r="BM93" i="1"/>
  <c r="BL93" i="1"/>
  <c r="BK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L93" i="1"/>
  <c r="AK93" i="1"/>
  <c r="AJ93" i="1"/>
  <c r="AI93" i="1"/>
  <c r="AH93" i="1"/>
  <c r="AG93" i="1"/>
  <c r="AF93" i="1"/>
  <c r="L93" i="1"/>
  <c r="K93" i="1"/>
  <c r="BX92" i="1"/>
  <c r="BW92" i="1"/>
  <c r="BX261" i="1" s="1"/>
  <c r="BV92" i="1"/>
  <c r="BP92" i="1"/>
  <c r="BO92" i="1"/>
  <c r="BN92" i="1"/>
  <c r="BM92" i="1"/>
  <c r="BL92" i="1"/>
  <c r="BK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L92" i="1"/>
  <c r="AK92" i="1"/>
  <c r="AJ92" i="1"/>
  <c r="AI92" i="1"/>
  <c r="AH92" i="1"/>
  <c r="AG92" i="1"/>
  <c r="AF92" i="1"/>
  <c r="L92" i="1"/>
  <c r="K92" i="1"/>
  <c r="BX91" i="1"/>
  <c r="BW91" i="1"/>
  <c r="BX266" i="1" s="1"/>
  <c r="BV91" i="1"/>
  <c r="BP91" i="1"/>
  <c r="BO91" i="1"/>
  <c r="BN91" i="1"/>
  <c r="BM91" i="1"/>
  <c r="BL91" i="1"/>
  <c r="BK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L91" i="1"/>
  <c r="K91" i="1"/>
  <c r="BX90" i="1"/>
  <c r="BW90" i="1"/>
  <c r="BX265" i="1" s="1"/>
  <c r="BV90" i="1"/>
  <c r="BP90" i="1"/>
  <c r="BO90" i="1"/>
  <c r="BN90" i="1"/>
  <c r="BM90" i="1"/>
  <c r="BL90" i="1"/>
  <c r="BK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L90" i="1"/>
  <c r="K90" i="1"/>
  <c r="BX89" i="1"/>
  <c r="BW89" i="1"/>
  <c r="BX277" i="1" s="1"/>
  <c r="BV89" i="1"/>
  <c r="BP89" i="1"/>
  <c r="BO89" i="1"/>
  <c r="BN89" i="1"/>
  <c r="BM89" i="1"/>
  <c r="BL89" i="1"/>
  <c r="BK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L89" i="1"/>
  <c r="K89" i="1"/>
  <c r="BX88" i="1"/>
  <c r="BW88" i="1"/>
  <c r="BX274" i="1" s="1"/>
  <c r="BV88" i="1"/>
  <c r="BP88" i="1"/>
  <c r="BO88" i="1"/>
  <c r="BN88" i="1"/>
  <c r="BM88" i="1"/>
  <c r="BL88" i="1"/>
  <c r="BK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L88" i="1"/>
  <c r="K88" i="1"/>
  <c r="BX87" i="1"/>
  <c r="BW87" i="1"/>
  <c r="BX281" i="1" s="1"/>
  <c r="BV87" i="1"/>
  <c r="BP87" i="1"/>
  <c r="BO87" i="1"/>
  <c r="BN87" i="1"/>
  <c r="BM87" i="1"/>
  <c r="BL87" i="1"/>
  <c r="BK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L87" i="1"/>
  <c r="K87" i="1"/>
  <c r="BX86" i="1"/>
  <c r="BW86" i="1"/>
  <c r="BX276" i="1" s="1"/>
  <c r="BV86" i="1"/>
  <c r="BP86" i="1"/>
  <c r="BO86" i="1"/>
  <c r="BN86" i="1"/>
  <c r="BM86" i="1"/>
  <c r="BL86" i="1"/>
  <c r="BK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L86" i="1"/>
  <c r="K86" i="1"/>
  <c r="BX85" i="1"/>
  <c r="BW85" i="1"/>
  <c r="BX280" i="1" s="1"/>
  <c r="BV85" i="1"/>
  <c r="BP85" i="1"/>
  <c r="BO85" i="1"/>
  <c r="BN85" i="1"/>
  <c r="BM85" i="1"/>
  <c r="BL85" i="1"/>
  <c r="BK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L85" i="1"/>
  <c r="K85" i="1"/>
  <c r="BX84" i="1"/>
  <c r="BW84" i="1"/>
  <c r="BX278" i="1" s="1"/>
  <c r="BV84" i="1"/>
  <c r="BP84" i="1"/>
  <c r="BO84" i="1"/>
  <c r="BN84" i="1"/>
  <c r="BM84" i="1"/>
  <c r="BL84" i="1"/>
  <c r="BK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L84" i="1"/>
  <c r="K84" i="1"/>
  <c r="BX83" i="1"/>
  <c r="BW83" i="1"/>
  <c r="BX275" i="1" s="1"/>
  <c r="BV83" i="1"/>
  <c r="BP83" i="1"/>
  <c r="BO83" i="1"/>
  <c r="BN83" i="1"/>
  <c r="BM83" i="1"/>
  <c r="BL83" i="1"/>
  <c r="BK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L83" i="1"/>
  <c r="K83" i="1"/>
  <c r="BP82" i="1"/>
  <c r="BO82" i="1"/>
  <c r="BN82" i="1"/>
  <c r="BM82" i="1"/>
  <c r="BL82" i="1"/>
  <c r="BK82" i="1"/>
  <c r="BH82" i="1"/>
  <c r="BG82" i="1"/>
  <c r="BF82" i="1"/>
  <c r="BE82" i="1"/>
  <c r="AL82" i="1"/>
  <c r="AK82" i="1"/>
  <c r="AJ82" i="1"/>
  <c r="AI82" i="1"/>
  <c r="AH82" i="1"/>
  <c r="AG82" i="1"/>
  <c r="AF82" i="1"/>
  <c r="L82" i="1"/>
  <c r="K82" i="1"/>
  <c r="BX81" i="1"/>
  <c r="BW81" i="1"/>
  <c r="BX273" i="1" s="1"/>
  <c r="BV81" i="1"/>
  <c r="BP81" i="1"/>
  <c r="BO81" i="1"/>
  <c r="BN81" i="1"/>
  <c r="BM81" i="1"/>
  <c r="BL81" i="1"/>
  <c r="BK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L81" i="1"/>
  <c r="K81" i="1"/>
  <c r="BX80" i="1"/>
  <c r="BW80" i="1"/>
  <c r="BX282" i="1" s="1"/>
  <c r="BV80" i="1"/>
  <c r="BP80" i="1"/>
  <c r="BO80" i="1"/>
  <c r="BN80" i="1"/>
  <c r="BM80" i="1"/>
  <c r="BL80" i="1"/>
  <c r="BK80" i="1"/>
  <c r="BH80" i="1"/>
  <c r="BG80" i="1"/>
  <c r="BF80" i="1"/>
  <c r="BE80" i="1"/>
  <c r="BD80" i="1"/>
  <c r="BC80" i="1"/>
  <c r="BB80" i="1"/>
  <c r="BA80" i="1"/>
  <c r="AZ80" i="1"/>
  <c r="AY80" i="1"/>
  <c r="AX80" i="1"/>
  <c r="AL80" i="1"/>
  <c r="AK80" i="1"/>
  <c r="AJ80" i="1"/>
  <c r="AI80" i="1"/>
  <c r="AH80" i="1"/>
  <c r="AG80" i="1"/>
  <c r="AF80" i="1"/>
  <c r="L80" i="1"/>
  <c r="K80" i="1"/>
  <c r="BX79" i="1"/>
  <c r="BW79" i="1"/>
  <c r="BX285" i="1" s="1"/>
  <c r="BV79" i="1"/>
  <c r="BP79" i="1"/>
  <c r="BO79" i="1"/>
  <c r="BN79" i="1"/>
  <c r="BM79" i="1"/>
  <c r="BL79" i="1"/>
  <c r="BK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L79" i="1"/>
  <c r="K79" i="1"/>
  <c r="BX78" i="1"/>
  <c r="BW78" i="1"/>
  <c r="BX288" i="1" s="1"/>
  <c r="BV78" i="1"/>
  <c r="BP78" i="1"/>
  <c r="BO78" i="1"/>
  <c r="BN78" i="1"/>
  <c r="BM78" i="1"/>
  <c r="BL78" i="1"/>
  <c r="BK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L78" i="1"/>
  <c r="K78" i="1"/>
  <c r="BX77" i="1"/>
  <c r="BW77" i="1"/>
  <c r="BX284" i="1" s="1"/>
  <c r="BV77" i="1"/>
  <c r="BP77" i="1"/>
  <c r="BO77" i="1"/>
  <c r="BN77" i="1"/>
  <c r="BM77" i="1"/>
  <c r="BL77" i="1"/>
  <c r="BK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L77" i="1"/>
  <c r="K77" i="1"/>
  <c r="BX76" i="1"/>
  <c r="BW76" i="1"/>
  <c r="BX283" i="1" s="1"/>
  <c r="BV76" i="1"/>
  <c r="BP76" i="1"/>
  <c r="BO76" i="1"/>
  <c r="BN76" i="1"/>
  <c r="BM76" i="1"/>
  <c r="BL76" i="1"/>
  <c r="BK76" i="1"/>
  <c r="BE76" i="1"/>
  <c r="BC76" i="1"/>
  <c r="BB76" i="1"/>
  <c r="AZ76" i="1"/>
  <c r="AY76" i="1"/>
  <c r="AX76" i="1"/>
  <c r="AV76" i="1"/>
  <c r="AU76" i="1"/>
  <c r="AT76" i="1"/>
  <c r="AS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L76" i="1"/>
  <c r="K76" i="1"/>
  <c r="BX75" i="1"/>
  <c r="BW75" i="1"/>
  <c r="BX289" i="1" s="1"/>
  <c r="BV75" i="1"/>
  <c r="BP75" i="1"/>
  <c r="BO75" i="1"/>
  <c r="BN75" i="1"/>
  <c r="BM75" i="1"/>
  <c r="BL75" i="1"/>
  <c r="BK75" i="1"/>
  <c r="BE75" i="1"/>
  <c r="BC75" i="1"/>
  <c r="BB75" i="1"/>
  <c r="AZ75" i="1"/>
  <c r="AY75" i="1"/>
  <c r="AX75" i="1"/>
  <c r="AV75" i="1"/>
  <c r="AU75" i="1"/>
  <c r="AT75" i="1"/>
  <c r="AS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L75" i="1"/>
  <c r="K75" i="1"/>
  <c r="BX74" i="1"/>
  <c r="BW74" i="1"/>
  <c r="BX287" i="1" s="1"/>
  <c r="BV74" i="1"/>
  <c r="BP74" i="1"/>
  <c r="BO74" i="1"/>
  <c r="BN74" i="1"/>
  <c r="BM74" i="1"/>
  <c r="BL74" i="1"/>
  <c r="BK74" i="1"/>
  <c r="BE74" i="1"/>
  <c r="BC74" i="1"/>
  <c r="BB74" i="1"/>
  <c r="AZ74" i="1"/>
  <c r="AY74" i="1"/>
  <c r="AX74" i="1"/>
  <c r="AV74" i="1"/>
  <c r="AU74" i="1"/>
  <c r="AT74" i="1"/>
  <c r="AS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L74" i="1"/>
  <c r="K74" i="1"/>
  <c r="BW73" i="1"/>
  <c r="BX286" i="1" s="1"/>
  <c r="BV73" i="1"/>
  <c r="BP73" i="1"/>
  <c r="BO73" i="1"/>
  <c r="BN73" i="1"/>
  <c r="BM73" i="1"/>
  <c r="BL73" i="1"/>
  <c r="BK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L73" i="1"/>
  <c r="K73" i="1"/>
  <c r="BW72" i="1"/>
  <c r="BX290" i="1" s="1"/>
  <c r="BV72" i="1"/>
  <c r="BP72" i="1"/>
  <c r="BO72" i="1"/>
  <c r="BN72" i="1"/>
  <c r="BM72" i="1"/>
  <c r="BL72" i="1"/>
  <c r="BK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L72" i="1"/>
  <c r="K72" i="1"/>
  <c r="BW71" i="1"/>
  <c r="BX291" i="1" s="1"/>
  <c r="BV71" i="1"/>
  <c r="BP71" i="1"/>
  <c r="BO71" i="1"/>
  <c r="BN71" i="1"/>
  <c r="BM71" i="1"/>
  <c r="BL71" i="1"/>
  <c r="BK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L71" i="1"/>
  <c r="K71" i="1"/>
  <c r="BW70" i="1"/>
  <c r="BV70" i="1"/>
  <c r="BP70" i="1"/>
  <c r="BO70" i="1"/>
  <c r="BN70" i="1"/>
  <c r="BM70" i="1"/>
  <c r="BL70" i="1"/>
  <c r="BK70" i="1"/>
  <c r="BF70" i="1"/>
  <c r="BD70" i="1"/>
  <c r="BB70" i="1"/>
  <c r="BA70" i="1"/>
  <c r="AY70" i="1"/>
  <c r="AX70" i="1"/>
  <c r="AW70" i="1"/>
  <c r="AU70" i="1"/>
  <c r="AT70" i="1"/>
  <c r="AS70" i="1"/>
  <c r="AL70" i="1"/>
  <c r="AK70" i="1"/>
  <c r="AJ70" i="1"/>
  <c r="AI70" i="1"/>
  <c r="AH70" i="1"/>
  <c r="AG70" i="1"/>
  <c r="AF70" i="1"/>
  <c r="L70" i="1"/>
  <c r="K70" i="1"/>
  <c r="BW69" i="1"/>
  <c r="BV69" i="1"/>
  <c r="BX64" i="1" s="1"/>
  <c r="BP69" i="1"/>
  <c r="BO69" i="1"/>
  <c r="BN69" i="1"/>
  <c r="BM69" i="1"/>
  <c r="BL69" i="1"/>
  <c r="BK69" i="1"/>
  <c r="BF69" i="1"/>
  <c r="BD69" i="1"/>
  <c r="BB69" i="1"/>
  <c r="BA69" i="1"/>
  <c r="AY69" i="1"/>
  <c r="AX69" i="1"/>
  <c r="AW69" i="1"/>
  <c r="AU69" i="1"/>
  <c r="AT69" i="1"/>
  <c r="AS69" i="1"/>
  <c r="AR69" i="1"/>
  <c r="AP69" i="1"/>
  <c r="AO69" i="1"/>
  <c r="AN69" i="1"/>
  <c r="AM69" i="1"/>
  <c r="AL69" i="1"/>
  <c r="AK69" i="1"/>
  <c r="AJ69" i="1"/>
  <c r="AI69" i="1"/>
  <c r="AH69" i="1"/>
  <c r="AG69" i="1"/>
  <c r="AF69" i="1"/>
  <c r="L69" i="1"/>
  <c r="K69" i="1"/>
  <c r="BW68" i="1"/>
  <c r="BX68" i="1" s="1"/>
  <c r="BV68" i="1"/>
  <c r="BP68" i="1"/>
  <c r="BO68" i="1"/>
  <c r="BN68" i="1"/>
  <c r="BM68" i="1"/>
  <c r="BL68" i="1"/>
  <c r="BK68" i="1"/>
  <c r="BF68" i="1"/>
  <c r="BD68" i="1"/>
  <c r="BB68" i="1"/>
  <c r="BA68" i="1"/>
  <c r="AY68" i="1"/>
  <c r="AX68" i="1"/>
  <c r="AW68" i="1"/>
  <c r="AU68" i="1"/>
  <c r="AT68" i="1"/>
  <c r="AS68" i="1"/>
  <c r="AR68" i="1"/>
  <c r="AP68" i="1"/>
  <c r="AO68" i="1"/>
  <c r="AN68" i="1"/>
  <c r="AM68" i="1"/>
  <c r="AL68" i="1"/>
  <c r="AK68" i="1"/>
  <c r="AJ68" i="1"/>
  <c r="AI68" i="1"/>
  <c r="AH68" i="1"/>
  <c r="AG68" i="1"/>
  <c r="AF68" i="1"/>
  <c r="L68" i="1"/>
  <c r="K68" i="1"/>
  <c r="BW67" i="1"/>
  <c r="BX67" i="1" s="1"/>
  <c r="BV67" i="1"/>
  <c r="BP67" i="1"/>
  <c r="BO67" i="1"/>
  <c r="BN67" i="1"/>
  <c r="BM67" i="1"/>
  <c r="BL67" i="1"/>
  <c r="BK67" i="1"/>
  <c r="BF67" i="1"/>
  <c r="BD67" i="1"/>
  <c r="BB67" i="1"/>
  <c r="BA67" i="1"/>
  <c r="AY67" i="1"/>
  <c r="AX67" i="1"/>
  <c r="AW67" i="1"/>
  <c r="AU67" i="1"/>
  <c r="AT67" i="1"/>
  <c r="AS67" i="1"/>
  <c r="AR67" i="1"/>
  <c r="AP67" i="1"/>
  <c r="AO67" i="1"/>
  <c r="AN67" i="1"/>
  <c r="AM67" i="1"/>
  <c r="AL67" i="1"/>
  <c r="AK67" i="1"/>
  <c r="AJ67" i="1"/>
  <c r="AI67" i="1"/>
  <c r="AH67" i="1"/>
  <c r="AG67" i="1"/>
  <c r="AF67" i="1"/>
  <c r="L67" i="1"/>
  <c r="K67" i="1"/>
  <c r="BX66" i="1"/>
  <c r="BW66" i="1"/>
  <c r="BX296" i="1" s="1"/>
  <c r="BV66" i="1"/>
  <c r="BP66" i="1"/>
  <c r="BO66" i="1"/>
  <c r="BN66" i="1"/>
  <c r="BM66" i="1"/>
  <c r="BL66" i="1"/>
  <c r="BK66" i="1"/>
  <c r="BF66" i="1"/>
  <c r="BD66" i="1"/>
  <c r="BB66" i="1"/>
  <c r="BA66" i="1"/>
  <c r="AY66" i="1"/>
  <c r="AX66" i="1"/>
  <c r="AW66" i="1"/>
  <c r="AU66" i="1"/>
  <c r="AT66" i="1"/>
  <c r="AS66" i="1"/>
  <c r="AR66" i="1"/>
  <c r="AP66" i="1"/>
  <c r="AO66" i="1"/>
  <c r="AN66" i="1"/>
  <c r="AM66" i="1"/>
  <c r="AL66" i="1"/>
  <c r="AK66" i="1"/>
  <c r="AJ66" i="1"/>
  <c r="AI66" i="1"/>
  <c r="AH66" i="1"/>
  <c r="AG66" i="1"/>
  <c r="AF66" i="1"/>
  <c r="L66" i="1"/>
  <c r="K66" i="1"/>
  <c r="BX65" i="1"/>
  <c r="BW65" i="1"/>
  <c r="BX297" i="1" s="1"/>
  <c r="BV65" i="1"/>
  <c r="BP65" i="1"/>
  <c r="BO65" i="1"/>
  <c r="BN65" i="1"/>
  <c r="BM65" i="1"/>
  <c r="BL65" i="1"/>
  <c r="BK65" i="1"/>
  <c r="BF65" i="1"/>
  <c r="BD65" i="1"/>
  <c r="BB65" i="1"/>
  <c r="BA65" i="1"/>
  <c r="AY65" i="1"/>
  <c r="AX65" i="1"/>
  <c r="AW65" i="1"/>
  <c r="AU65" i="1"/>
  <c r="AT65" i="1"/>
  <c r="AS65" i="1"/>
  <c r="AR65" i="1"/>
  <c r="AP65" i="1"/>
  <c r="AO65" i="1"/>
  <c r="AN65" i="1"/>
  <c r="AM65" i="1"/>
  <c r="AL65" i="1"/>
  <c r="AK65" i="1"/>
  <c r="AJ65" i="1"/>
  <c r="AI65" i="1"/>
  <c r="AH65" i="1"/>
  <c r="AG65" i="1"/>
  <c r="AF65" i="1"/>
  <c r="L65" i="1"/>
  <c r="K65" i="1"/>
  <c r="BW64" i="1"/>
  <c r="BX69" i="1" s="1"/>
  <c r="BV64" i="1"/>
  <c r="BP64" i="1"/>
  <c r="BO64" i="1"/>
  <c r="BN64" i="1"/>
  <c r="BM64" i="1"/>
  <c r="BL64" i="1"/>
  <c r="BK64" i="1"/>
  <c r="BF64" i="1"/>
  <c r="BD64" i="1"/>
  <c r="BB64" i="1"/>
  <c r="BA64" i="1"/>
  <c r="AY64" i="1"/>
  <c r="AX64" i="1"/>
  <c r="AW64" i="1"/>
  <c r="AU64" i="1"/>
  <c r="AT64" i="1"/>
  <c r="AS64" i="1"/>
  <c r="AR64" i="1"/>
  <c r="AP64" i="1"/>
  <c r="AO64" i="1"/>
  <c r="AN64" i="1"/>
  <c r="AM64" i="1"/>
  <c r="AL64" i="1"/>
  <c r="AK64" i="1"/>
  <c r="AJ64" i="1"/>
  <c r="AI64" i="1"/>
  <c r="AH64" i="1"/>
  <c r="AG64" i="1"/>
  <c r="AF64" i="1"/>
  <c r="L64" i="1"/>
  <c r="K64" i="1"/>
  <c r="BX63" i="1"/>
  <c r="BW63" i="1"/>
  <c r="BX300" i="1" s="1"/>
  <c r="BV63" i="1"/>
  <c r="BP63" i="1"/>
  <c r="BO63" i="1"/>
  <c r="BN63" i="1"/>
  <c r="BM63" i="1"/>
  <c r="BL63" i="1"/>
  <c r="BK63" i="1"/>
  <c r="BF63" i="1"/>
  <c r="BD63" i="1"/>
  <c r="BB63" i="1"/>
  <c r="BA63" i="1"/>
  <c r="AY63" i="1"/>
  <c r="AX63" i="1"/>
  <c r="AW63" i="1"/>
  <c r="AU63" i="1"/>
  <c r="AT63" i="1"/>
  <c r="AS63" i="1"/>
  <c r="AL63" i="1"/>
  <c r="AK63" i="1"/>
  <c r="AJ63" i="1"/>
  <c r="AI63" i="1"/>
  <c r="AH63" i="1"/>
  <c r="AG63" i="1"/>
  <c r="AF63" i="1"/>
  <c r="L63" i="1"/>
  <c r="K63" i="1"/>
  <c r="BX62" i="1"/>
  <c r="BW62" i="1"/>
  <c r="BX301" i="1" s="1"/>
  <c r="BV62" i="1"/>
  <c r="BP62" i="1"/>
  <c r="BO62" i="1"/>
  <c r="BN62" i="1"/>
  <c r="BM62" i="1"/>
  <c r="BL62" i="1"/>
  <c r="BK62" i="1"/>
  <c r="BF62" i="1"/>
  <c r="BD62" i="1"/>
  <c r="BB62" i="1"/>
  <c r="BA62" i="1"/>
  <c r="AY62" i="1"/>
  <c r="AX62" i="1"/>
  <c r="AW62" i="1"/>
  <c r="AU62" i="1"/>
  <c r="AT62" i="1"/>
  <c r="AS62" i="1"/>
  <c r="AR62" i="1"/>
  <c r="AP62" i="1"/>
  <c r="AO62" i="1"/>
  <c r="AN62" i="1"/>
  <c r="AM62" i="1"/>
  <c r="AL62" i="1"/>
  <c r="AK62" i="1"/>
  <c r="AJ62" i="1"/>
  <c r="AI62" i="1"/>
  <c r="AH62" i="1"/>
  <c r="AG62" i="1"/>
  <c r="AF62" i="1"/>
  <c r="L62" i="1"/>
  <c r="K62" i="1"/>
  <c r="BX61" i="1"/>
  <c r="BW61" i="1"/>
  <c r="BV61" i="1"/>
  <c r="BP61" i="1"/>
  <c r="BO61" i="1"/>
  <c r="BN61" i="1"/>
  <c r="BM61" i="1"/>
  <c r="BL61" i="1"/>
  <c r="BK61" i="1"/>
  <c r="BF61" i="1"/>
  <c r="BD61" i="1"/>
  <c r="BB61" i="1"/>
  <c r="BA61" i="1"/>
  <c r="AY61" i="1"/>
  <c r="AX61" i="1"/>
  <c r="AW61" i="1"/>
  <c r="AU61" i="1"/>
  <c r="AT61" i="1"/>
  <c r="AS61" i="1"/>
  <c r="AR61" i="1"/>
  <c r="AP61" i="1"/>
  <c r="AO61" i="1"/>
  <c r="AN61" i="1"/>
  <c r="AM61" i="1"/>
  <c r="AL61" i="1"/>
  <c r="AK61" i="1"/>
  <c r="AJ61" i="1"/>
  <c r="AI61" i="1"/>
  <c r="AH61" i="1"/>
  <c r="AG61" i="1"/>
  <c r="AF61" i="1"/>
  <c r="L61" i="1"/>
  <c r="K61" i="1"/>
  <c r="BW60" i="1"/>
  <c r="BX302" i="1" s="1"/>
  <c r="BV60" i="1"/>
  <c r="BP60" i="1"/>
  <c r="BO60" i="1"/>
  <c r="BN60" i="1"/>
  <c r="BM60" i="1"/>
  <c r="BL60" i="1"/>
  <c r="BK60" i="1"/>
  <c r="BF60" i="1"/>
  <c r="BD60" i="1"/>
  <c r="BB60" i="1"/>
  <c r="BA60" i="1"/>
  <c r="AY60" i="1"/>
  <c r="AX60" i="1"/>
  <c r="AW60" i="1"/>
  <c r="AU60" i="1"/>
  <c r="AT60" i="1"/>
  <c r="AS60" i="1"/>
  <c r="AR60" i="1"/>
  <c r="AP60" i="1"/>
  <c r="AO60" i="1"/>
  <c r="AN60" i="1"/>
  <c r="AM60" i="1"/>
  <c r="AL60" i="1"/>
  <c r="AK60" i="1"/>
  <c r="AJ60" i="1"/>
  <c r="AI60" i="1"/>
  <c r="AH60" i="1"/>
  <c r="AG60" i="1"/>
  <c r="AF60" i="1"/>
  <c r="L60" i="1"/>
  <c r="K60" i="1"/>
  <c r="BW59" i="1"/>
  <c r="BX303" i="1" s="1"/>
  <c r="BV59" i="1"/>
  <c r="BP59" i="1"/>
  <c r="BO59" i="1"/>
  <c r="BN59" i="1"/>
  <c r="BM59" i="1"/>
  <c r="BL59" i="1"/>
  <c r="BK59" i="1"/>
  <c r="BF59" i="1"/>
  <c r="BD59" i="1"/>
  <c r="BB59" i="1"/>
  <c r="BA59" i="1"/>
  <c r="AY59" i="1"/>
  <c r="AX59" i="1"/>
  <c r="AW59" i="1"/>
  <c r="AU59" i="1"/>
  <c r="AT59" i="1"/>
  <c r="AS59" i="1"/>
  <c r="AR59" i="1"/>
  <c r="AP59" i="1"/>
  <c r="AO59" i="1"/>
  <c r="AN59" i="1"/>
  <c r="AM59" i="1"/>
  <c r="AL59" i="1"/>
  <c r="AK59" i="1"/>
  <c r="AJ59" i="1"/>
  <c r="AI59" i="1"/>
  <c r="AH59" i="1"/>
  <c r="AG59" i="1"/>
  <c r="AF59" i="1"/>
  <c r="L59" i="1"/>
  <c r="K59" i="1"/>
  <c r="BW58" i="1"/>
  <c r="BX305" i="1" s="1"/>
  <c r="BV58" i="1"/>
  <c r="BP58" i="1"/>
  <c r="BO58" i="1"/>
  <c r="BN58" i="1"/>
  <c r="BM58" i="1"/>
  <c r="BL58" i="1"/>
  <c r="BK58" i="1"/>
  <c r="BH58" i="1"/>
  <c r="BG58" i="1"/>
  <c r="BD58" i="1"/>
  <c r="BC58" i="1"/>
  <c r="BA58" i="1"/>
  <c r="AZ58" i="1"/>
  <c r="AX58" i="1"/>
  <c r="AW58" i="1"/>
  <c r="AV58" i="1"/>
  <c r="AT58" i="1"/>
  <c r="AS58" i="1"/>
  <c r="AR58" i="1"/>
  <c r="AQ58" i="1"/>
  <c r="AO58" i="1"/>
  <c r="AN58" i="1"/>
  <c r="AM58" i="1"/>
  <c r="AL58" i="1"/>
  <c r="AK58" i="1"/>
  <c r="AJ58" i="1"/>
  <c r="AI58" i="1"/>
  <c r="AH58" i="1"/>
  <c r="AG58" i="1"/>
  <c r="AF58" i="1"/>
  <c r="L58" i="1"/>
  <c r="K58" i="1"/>
  <c r="BW57" i="1"/>
  <c r="BX304" i="1" s="1"/>
  <c r="BV57" i="1"/>
  <c r="BP57" i="1"/>
  <c r="BO57" i="1"/>
  <c r="BN57" i="1"/>
  <c r="BM57" i="1"/>
  <c r="BL57" i="1"/>
  <c r="BK57" i="1"/>
  <c r="BH57" i="1"/>
  <c r="BG57" i="1"/>
  <c r="BD57" i="1"/>
  <c r="BC57" i="1"/>
  <c r="BA57" i="1"/>
  <c r="AZ57" i="1"/>
  <c r="AX57" i="1"/>
  <c r="AW57" i="1"/>
  <c r="AV57" i="1"/>
  <c r="AT57" i="1"/>
  <c r="AS57" i="1"/>
  <c r="AR57" i="1"/>
  <c r="AQ57" i="1"/>
  <c r="AO57" i="1"/>
  <c r="AN57" i="1"/>
  <c r="AM57" i="1"/>
  <c r="AL57" i="1"/>
  <c r="AK57" i="1"/>
  <c r="AJ57" i="1"/>
  <c r="AI57" i="1"/>
  <c r="AH57" i="1"/>
  <c r="AG57" i="1"/>
  <c r="AF57" i="1"/>
  <c r="L57" i="1"/>
  <c r="K57" i="1"/>
  <c r="BW56" i="1"/>
  <c r="BX306" i="1" s="1"/>
  <c r="BV56" i="1"/>
  <c r="BP56" i="1"/>
  <c r="BO56" i="1"/>
  <c r="BN56" i="1"/>
  <c r="BM56" i="1"/>
  <c r="BL56" i="1"/>
  <c r="BK56" i="1"/>
  <c r="BH56" i="1"/>
  <c r="BG56" i="1"/>
  <c r="BD56" i="1"/>
  <c r="BC56" i="1"/>
  <c r="BA56" i="1"/>
  <c r="AZ56" i="1"/>
  <c r="AX56" i="1"/>
  <c r="AW56" i="1"/>
  <c r="AV56" i="1"/>
  <c r="AT56" i="1"/>
  <c r="AS56" i="1"/>
  <c r="AR56" i="1"/>
  <c r="AQ56" i="1"/>
  <c r="AO56" i="1"/>
  <c r="AN56" i="1"/>
  <c r="AM56" i="1"/>
  <c r="AL56" i="1"/>
  <c r="AK56" i="1"/>
  <c r="AJ56" i="1"/>
  <c r="AI56" i="1"/>
  <c r="AH56" i="1"/>
  <c r="AG56" i="1"/>
  <c r="AF56" i="1"/>
  <c r="L56" i="1"/>
  <c r="K56" i="1"/>
  <c r="BW55" i="1"/>
  <c r="BX307" i="1" s="1"/>
  <c r="BV55" i="1"/>
  <c r="BP55" i="1"/>
  <c r="BO55" i="1"/>
  <c r="BN55" i="1"/>
  <c r="BM55" i="1"/>
  <c r="BL55" i="1"/>
  <c r="BK55" i="1"/>
  <c r="BH55" i="1"/>
  <c r="BG55" i="1"/>
  <c r="BD55" i="1"/>
  <c r="BC55" i="1"/>
  <c r="BA55" i="1"/>
  <c r="AZ55" i="1"/>
  <c r="AX55" i="1"/>
  <c r="AW55" i="1"/>
  <c r="AV55" i="1"/>
  <c r="AT55" i="1"/>
  <c r="AS55" i="1"/>
  <c r="AL55" i="1"/>
  <c r="AK55" i="1"/>
  <c r="AJ55" i="1"/>
  <c r="AI55" i="1"/>
  <c r="AH55" i="1"/>
  <c r="AG55" i="1"/>
  <c r="AF55" i="1"/>
  <c r="L55" i="1"/>
  <c r="K55" i="1"/>
  <c r="BW54" i="1"/>
  <c r="BX308" i="1" s="1"/>
  <c r="BV54" i="1"/>
  <c r="BP54" i="1"/>
  <c r="BO54" i="1"/>
  <c r="BN54" i="1"/>
  <c r="BM54" i="1"/>
  <c r="BL54" i="1"/>
  <c r="BK54" i="1"/>
  <c r="BH54" i="1"/>
  <c r="BG54" i="1"/>
  <c r="BD54" i="1"/>
  <c r="BC54" i="1"/>
  <c r="BA54" i="1"/>
  <c r="AZ54" i="1"/>
  <c r="AX54" i="1"/>
  <c r="AW54" i="1"/>
  <c r="AV54" i="1"/>
  <c r="AT54" i="1"/>
  <c r="AS54" i="1"/>
  <c r="AR54" i="1"/>
  <c r="AQ54" i="1"/>
  <c r="AO54" i="1"/>
  <c r="AN54" i="1"/>
  <c r="AM54" i="1"/>
  <c r="AL54" i="1"/>
  <c r="AK54" i="1"/>
  <c r="AJ54" i="1"/>
  <c r="AI54" i="1"/>
  <c r="AH54" i="1"/>
  <c r="AG54" i="1"/>
  <c r="AF54" i="1"/>
  <c r="L54" i="1"/>
  <c r="K54" i="1"/>
  <c r="BX53" i="1"/>
  <c r="BW53" i="1"/>
  <c r="BX309" i="1" s="1"/>
  <c r="BV53" i="1"/>
  <c r="BX54" i="1" s="1"/>
  <c r="BP53" i="1"/>
  <c r="BO53" i="1"/>
  <c r="BN53" i="1"/>
  <c r="BM53" i="1"/>
  <c r="BL53" i="1"/>
  <c r="BK53" i="1"/>
  <c r="BH53" i="1"/>
  <c r="BG53" i="1"/>
  <c r="BD53" i="1"/>
  <c r="BC53" i="1"/>
  <c r="BA53" i="1"/>
  <c r="AZ53" i="1"/>
  <c r="AX53" i="1"/>
  <c r="AW53" i="1"/>
  <c r="AV53" i="1"/>
  <c r="AT53" i="1"/>
  <c r="AS53" i="1"/>
  <c r="AR53" i="1"/>
  <c r="AQ53" i="1"/>
  <c r="AO53" i="1"/>
  <c r="AN53" i="1"/>
  <c r="AM53" i="1"/>
  <c r="AL53" i="1"/>
  <c r="AK53" i="1"/>
  <c r="AJ53" i="1"/>
  <c r="AI53" i="1"/>
  <c r="AH53" i="1"/>
  <c r="AG53" i="1"/>
  <c r="AF53" i="1"/>
  <c r="L53" i="1"/>
  <c r="K53" i="1"/>
  <c r="BW52" i="1"/>
  <c r="BX317" i="1" s="1"/>
  <c r="BV52" i="1"/>
  <c r="BP52" i="1"/>
  <c r="BO52" i="1"/>
  <c r="BN52" i="1"/>
  <c r="BM52" i="1"/>
  <c r="BL52" i="1"/>
  <c r="BK52" i="1"/>
  <c r="BH52" i="1"/>
  <c r="BG52" i="1"/>
  <c r="BD52" i="1"/>
  <c r="BC52" i="1"/>
  <c r="BA52" i="1"/>
  <c r="AZ52" i="1"/>
  <c r="AX52" i="1"/>
  <c r="AW52" i="1"/>
  <c r="AV52" i="1"/>
  <c r="AT52" i="1"/>
  <c r="AS52" i="1"/>
  <c r="AR52" i="1"/>
  <c r="AQ52" i="1"/>
  <c r="AO52" i="1"/>
  <c r="AN52" i="1"/>
  <c r="AM52" i="1"/>
  <c r="AL52" i="1"/>
  <c r="AK52" i="1"/>
  <c r="AJ52" i="1"/>
  <c r="AI52" i="1"/>
  <c r="AH52" i="1"/>
  <c r="AG52" i="1"/>
  <c r="AF52" i="1"/>
  <c r="L52" i="1"/>
  <c r="K52" i="1"/>
  <c r="BX51" i="1"/>
  <c r="BW51" i="1"/>
  <c r="BX316" i="1" s="1"/>
  <c r="BV51" i="1"/>
  <c r="BP51" i="1"/>
  <c r="BO51" i="1"/>
  <c r="BN51" i="1"/>
  <c r="BM51" i="1"/>
  <c r="BL51" i="1"/>
  <c r="BK51" i="1"/>
  <c r="BH51" i="1"/>
  <c r="BG51" i="1"/>
  <c r="BD51" i="1"/>
  <c r="BC51" i="1"/>
  <c r="BA51" i="1"/>
  <c r="AZ51" i="1"/>
  <c r="AX51" i="1"/>
  <c r="AW51" i="1"/>
  <c r="AV51" i="1"/>
  <c r="AT51" i="1"/>
  <c r="AS51" i="1"/>
  <c r="AL51" i="1"/>
  <c r="AK51" i="1"/>
  <c r="AJ51" i="1"/>
  <c r="AI51" i="1"/>
  <c r="AH51" i="1"/>
  <c r="AG51" i="1"/>
  <c r="AF51" i="1"/>
  <c r="L51" i="1"/>
  <c r="K51" i="1"/>
  <c r="BW50" i="1"/>
  <c r="BX315" i="1" s="1"/>
  <c r="BV50" i="1"/>
  <c r="BP50" i="1"/>
  <c r="BO50" i="1"/>
  <c r="BN50" i="1"/>
  <c r="BM50" i="1"/>
  <c r="BL50" i="1"/>
  <c r="BK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L50" i="1"/>
  <c r="K50" i="1"/>
  <c r="BW49" i="1"/>
  <c r="BX314" i="1" s="1"/>
  <c r="BV49" i="1"/>
  <c r="BP49" i="1"/>
  <c r="BO49" i="1"/>
  <c r="BN49" i="1"/>
  <c r="BM49" i="1"/>
  <c r="BL49" i="1"/>
  <c r="BK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L49" i="1"/>
  <c r="K49" i="1"/>
  <c r="BP48" i="1"/>
  <c r="BO48" i="1"/>
  <c r="BN48" i="1"/>
  <c r="BM48" i="1"/>
  <c r="BL48" i="1"/>
  <c r="BK48" i="1"/>
  <c r="BH48" i="1"/>
  <c r="BG48" i="1"/>
  <c r="BF48" i="1"/>
  <c r="BE48" i="1"/>
  <c r="AL48" i="1"/>
  <c r="AK48" i="1"/>
  <c r="AJ48" i="1"/>
  <c r="AI48" i="1"/>
  <c r="AH48" i="1"/>
  <c r="AG48" i="1"/>
  <c r="AF48" i="1"/>
  <c r="L48" i="1"/>
  <c r="K48" i="1"/>
  <c r="BX47" i="1"/>
  <c r="BW47" i="1"/>
  <c r="BX312" i="1" s="1"/>
  <c r="BV47" i="1"/>
  <c r="BP47" i="1"/>
  <c r="BO47" i="1"/>
  <c r="BN47" i="1"/>
  <c r="BM47" i="1"/>
  <c r="BL47" i="1"/>
  <c r="BK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L47" i="1"/>
  <c r="K47" i="1"/>
  <c r="BX46" i="1"/>
  <c r="BW46" i="1"/>
  <c r="BX311" i="1" s="1"/>
  <c r="BV46" i="1"/>
  <c r="BP46" i="1"/>
  <c r="BO46" i="1"/>
  <c r="BN46" i="1"/>
  <c r="BM46" i="1"/>
  <c r="BL46" i="1"/>
  <c r="BK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L46" i="1"/>
  <c r="K46" i="1"/>
  <c r="BX45" i="1"/>
  <c r="BW45" i="1"/>
  <c r="BX310" i="1" s="1"/>
  <c r="BV45" i="1"/>
  <c r="BP45" i="1"/>
  <c r="BO45" i="1"/>
  <c r="BN45" i="1"/>
  <c r="BM45" i="1"/>
  <c r="BL45" i="1"/>
  <c r="BK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L45" i="1"/>
  <c r="K45" i="1"/>
  <c r="BX44" i="1"/>
  <c r="BW44" i="1"/>
  <c r="BX318" i="1" s="1"/>
  <c r="BV44" i="1"/>
  <c r="BP44" i="1"/>
  <c r="BO44" i="1"/>
  <c r="BN44" i="1"/>
  <c r="BM44" i="1"/>
  <c r="BL44" i="1"/>
  <c r="BK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4" i="1" s="1"/>
  <c r="K7" i="1"/>
  <c r="L6" i="1"/>
  <c r="K6" i="1"/>
  <c r="N2" i="1" s="1"/>
  <c r="R4" i="1"/>
  <c r="I2" i="1"/>
  <c r="K4" i="2" l="1"/>
  <c r="K2" i="1"/>
  <c r="R2" i="1" s="1"/>
  <c r="BX56" i="1"/>
  <c r="BX58" i="1"/>
  <c r="BX294" i="1"/>
  <c r="BX295" i="1"/>
  <c r="BX298" i="1"/>
  <c r="I2" i="2"/>
  <c r="I4" i="2"/>
  <c r="M2" i="1"/>
  <c r="C26" i="4"/>
  <c r="C28" i="4"/>
  <c r="BX133" i="1"/>
  <c r="BX134" i="1"/>
  <c r="BX135" i="1"/>
  <c r="K2" i="2"/>
  <c r="I4" i="3"/>
  <c r="I2" i="3"/>
  <c r="I4" i="1"/>
  <c r="BX52" i="1"/>
  <c r="BX59" i="1"/>
  <c r="N4" i="1"/>
  <c r="BX49" i="1"/>
  <c r="BX50" i="1"/>
  <c r="BX55" i="1"/>
  <c r="BX57" i="1"/>
  <c r="BX60" i="1"/>
  <c r="BX70" i="1"/>
  <c r="N2" i="2"/>
  <c r="K2" i="3"/>
  <c r="C27" i="4"/>
  <c r="C30" i="4" s="1"/>
  <c r="C33" i="4" s="1"/>
  <c r="C34" i="4" l="1"/>
  <c r="D33" i="4"/>
  <c r="C35" i="4" l="1"/>
  <c r="D34" i="4"/>
  <c r="C36" i="4" l="1"/>
  <c r="D35" i="4"/>
  <c r="C37" i="4" l="1"/>
  <c r="D36" i="4"/>
  <c r="C38" i="4" l="1"/>
  <c r="D37" i="4"/>
  <c r="C39" i="4" l="1"/>
  <c r="D38" i="4"/>
  <c r="C40" i="4" l="1"/>
  <c r="D39" i="4"/>
  <c r="C41" i="4" l="1"/>
  <c r="D40" i="4"/>
  <c r="C42" i="4" l="1"/>
  <c r="D41" i="4"/>
  <c r="C43" i="4" l="1"/>
  <c r="D42" i="4"/>
  <c r="C44" i="4" l="1"/>
  <c r="D43" i="4"/>
  <c r="C45" i="4" l="1"/>
  <c r="D44" i="4"/>
  <c r="C46" i="4" l="1"/>
  <c r="D45" i="4"/>
  <c r="D47" i="4" l="1"/>
  <c r="C47" i="4"/>
  <c r="D46" i="4"/>
  <c r="C48" i="4" l="1"/>
  <c r="C49" i="4" l="1"/>
  <c r="D48" i="4"/>
  <c r="C50" i="4" l="1"/>
  <c r="D49" i="4"/>
  <c r="C51" i="4" l="1"/>
  <c r="D50" i="4"/>
  <c r="C52" i="4" l="1"/>
  <c r="D51" i="4"/>
  <c r="C53" i="4" l="1"/>
  <c r="D52" i="4"/>
  <c r="C54" i="4" l="1"/>
  <c r="D53" i="4"/>
  <c r="C55" i="4" l="1"/>
  <c r="D54" i="4"/>
  <c r="C56" i="4" l="1"/>
  <c r="D55" i="4"/>
  <c r="C57" i="4" l="1"/>
  <c r="D56" i="4"/>
  <c r="C58" i="4" l="1"/>
  <c r="D57" i="4"/>
  <c r="C59" i="4" l="1"/>
  <c r="D58" i="4"/>
  <c r="C60" i="4" l="1"/>
  <c r="D59" i="4"/>
  <c r="C61" i="4" l="1"/>
  <c r="D60" i="4"/>
  <c r="C62" i="4" l="1"/>
  <c r="D61" i="4"/>
  <c r="C63" i="4" l="1"/>
  <c r="D62" i="4"/>
  <c r="C64" i="4" l="1"/>
  <c r="D63" i="4"/>
  <c r="C65" i="4" l="1"/>
  <c r="D64" i="4"/>
  <c r="C66" i="4" l="1"/>
  <c r="D65" i="4"/>
  <c r="C67" i="4" l="1"/>
  <c r="D66" i="4"/>
  <c r="C68" i="4" l="1"/>
  <c r="D67" i="4"/>
  <c r="C69" i="4" l="1"/>
  <c r="D68" i="4"/>
  <c r="C70" i="4" l="1"/>
  <c r="D69" i="4"/>
  <c r="C71" i="4" l="1"/>
  <c r="D70" i="4"/>
  <c r="C72" i="4" l="1"/>
  <c r="D71" i="4"/>
  <c r="C73" i="4" l="1"/>
  <c r="D72" i="4"/>
  <c r="C74" i="4" l="1"/>
  <c r="D73" i="4"/>
  <c r="C75" i="4" l="1"/>
  <c r="D74" i="4"/>
  <c r="C76" i="4" l="1"/>
  <c r="D75" i="4"/>
  <c r="C77" i="4" l="1"/>
  <c r="D76" i="4"/>
  <c r="C78" i="4" l="1"/>
  <c r="D77" i="4"/>
  <c r="C79" i="4" l="1"/>
  <c r="D78" i="4"/>
  <c r="C80" i="4" l="1"/>
  <c r="D79" i="4"/>
  <c r="C81" i="4" l="1"/>
  <c r="D80" i="4"/>
  <c r="C82" i="4" l="1"/>
  <c r="D81" i="4"/>
  <c r="C83" i="4" l="1"/>
  <c r="D82" i="4"/>
  <c r="C84" i="4" l="1"/>
  <c r="D83" i="4"/>
  <c r="C85" i="4" l="1"/>
  <c r="D84" i="4"/>
  <c r="C86" i="4" l="1"/>
  <c r="D85" i="4"/>
  <c r="C87" i="4" l="1"/>
  <c r="D86" i="4"/>
  <c r="C88" i="4" l="1"/>
  <c r="D87" i="4"/>
  <c r="C89" i="4" l="1"/>
  <c r="D88" i="4"/>
  <c r="D90" i="4" l="1"/>
  <c r="C90" i="4"/>
  <c r="D89" i="4"/>
  <c r="C91" i="4" l="1"/>
  <c r="C92" i="4" l="1"/>
  <c r="D91" i="4"/>
  <c r="C93" i="4" l="1"/>
  <c r="D92" i="4"/>
  <c r="C94" i="4" l="1"/>
  <c r="D93" i="4"/>
  <c r="C95" i="4" l="1"/>
  <c r="D94" i="4"/>
  <c r="C96" i="4" l="1"/>
  <c r="D95" i="4"/>
  <c r="C97" i="4" l="1"/>
  <c r="D96" i="4"/>
  <c r="C98" i="4" l="1"/>
  <c r="D97" i="4"/>
  <c r="C99" i="4" l="1"/>
  <c r="D98" i="4"/>
  <c r="C100" i="4" l="1"/>
  <c r="D99" i="4"/>
  <c r="C101" i="4" l="1"/>
  <c r="D100" i="4"/>
  <c r="C102" i="4" l="1"/>
  <c r="D101" i="4"/>
  <c r="C103" i="4" l="1"/>
  <c r="D102" i="4"/>
  <c r="C104" i="4" l="1"/>
  <c r="D103" i="4"/>
  <c r="C105" i="4" l="1"/>
  <c r="D104" i="4"/>
  <c r="C106" i="4" l="1"/>
  <c r="D105" i="4"/>
  <c r="C107" i="4" l="1"/>
  <c r="D106" i="4"/>
  <c r="C108" i="4" l="1"/>
  <c r="D107" i="4"/>
  <c r="C109" i="4" l="1"/>
  <c r="D108" i="4"/>
  <c r="C110" i="4" l="1"/>
  <c r="D109" i="4"/>
  <c r="C111" i="4" l="1"/>
  <c r="D110" i="4"/>
  <c r="C112" i="4" l="1"/>
  <c r="D111" i="4"/>
  <c r="D113" i="4" l="1"/>
  <c r="C113" i="4"/>
  <c r="D112" i="4"/>
  <c r="C114" i="4" l="1"/>
  <c r="C115" i="4" l="1"/>
  <c r="D114" i="4"/>
  <c r="C116" i="4" l="1"/>
  <c r="D115" i="4"/>
  <c r="C117" i="4" l="1"/>
  <c r="D116" i="4"/>
  <c r="C118" i="4" l="1"/>
  <c r="D117" i="4"/>
  <c r="C119" i="4" l="1"/>
  <c r="D118" i="4"/>
  <c r="C120" i="4" l="1"/>
  <c r="D119" i="4"/>
  <c r="C121" i="4" l="1"/>
  <c r="D120" i="4"/>
  <c r="C122" i="4" l="1"/>
  <c r="D121" i="4"/>
  <c r="C123" i="4" l="1"/>
  <c r="D122" i="4"/>
  <c r="C124" i="4" l="1"/>
  <c r="D123" i="4"/>
  <c r="C125" i="4" l="1"/>
  <c r="D124" i="4"/>
  <c r="C126" i="4" l="1"/>
  <c r="D125" i="4"/>
  <c r="C127" i="4" l="1"/>
  <c r="D126" i="4"/>
  <c r="C128" i="4" l="1"/>
  <c r="D127" i="4"/>
  <c r="C129" i="4" l="1"/>
  <c r="D128" i="4"/>
  <c r="C130" i="4" l="1"/>
  <c r="D129" i="4"/>
  <c r="D131" i="4" l="1"/>
  <c r="C131" i="4"/>
  <c r="D130" i="4"/>
  <c r="C132" i="4" l="1"/>
  <c r="C133" i="4" l="1"/>
  <c r="D132" i="4"/>
  <c r="C134" i="4" l="1"/>
  <c r="D133" i="4"/>
  <c r="C135" i="4" l="1"/>
  <c r="D134" i="4"/>
  <c r="D136" i="4" l="1"/>
  <c r="C136" i="4"/>
  <c r="D135" i="4"/>
  <c r="C137" i="4" l="1"/>
  <c r="C138" i="4" l="1"/>
  <c r="D137" i="4"/>
  <c r="C139" i="4" l="1"/>
  <c r="D138" i="4"/>
  <c r="C140" i="4" l="1"/>
  <c r="D139" i="4"/>
  <c r="D141" i="4" l="1"/>
  <c r="C141" i="4"/>
  <c r="D140" i="4"/>
  <c r="C142" i="4" l="1"/>
  <c r="C143" i="4" l="1"/>
  <c r="D142" i="4"/>
  <c r="C144" i="4" l="1"/>
  <c r="D143" i="4"/>
  <c r="C145" i="4" l="1"/>
  <c r="D144" i="4"/>
  <c r="C146" i="4" l="1"/>
  <c r="D145" i="4"/>
  <c r="C147" i="4" l="1"/>
  <c r="D146" i="4"/>
  <c r="C148" i="4" l="1"/>
  <c r="D147" i="4"/>
  <c r="C149" i="4" l="1"/>
  <c r="D148" i="4"/>
  <c r="C150" i="4" l="1"/>
  <c r="D149" i="4"/>
  <c r="C151" i="4" l="1"/>
  <c r="D150" i="4"/>
  <c r="C152" i="4" l="1"/>
  <c r="D151" i="4"/>
  <c r="C153" i="4" l="1"/>
  <c r="D152" i="4"/>
  <c r="C154" i="4" l="1"/>
  <c r="D153" i="4"/>
  <c r="C155" i="4" l="1"/>
  <c r="D154" i="4"/>
  <c r="C156" i="4" l="1"/>
  <c r="D155" i="4"/>
  <c r="C157" i="4" l="1"/>
  <c r="D156" i="4"/>
  <c r="C158" i="4" l="1"/>
  <c r="D157" i="4"/>
  <c r="C159" i="4" l="1"/>
  <c r="D158" i="4"/>
  <c r="C160" i="4" l="1"/>
  <c r="D159" i="4"/>
  <c r="C161" i="4" l="1"/>
  <c r="D160" i="4"/>
  <c r="C162" i="4" l="1"/>
  <c r="D161" i="4"/>
  <c r="C163" i="4" l="1"/>
  <c r="D162" i="4"/>
  <c r="C164" i="4" l="1"/>
  <c r="D163" i="4"/>
  <c r="C165" i="4" l="1"/>
  <c r="D164" i="4"/>
  <c r="C166" i="4" l="1"/>
  <c r="D165" i="4"/>
  <c r="C167" i="4" l="1"/>
  <c r="D166" i="4"/>
  <c r="D168" i="4" l="1"/>
  <c r="C168" i="4"/>
  <c r="D167" i="4"/>
  <c r="C169" i="4" l="1"/>
  <c r="C170" i="4" l="1"/>
  <c r="D169" i="4"/>
  <c r="C171" i="4" l="1"/>
  <c r="D170" i="4"/>
  <c r="D172" i="4" l="1"/>
  <c r="C172" i="4"/>
  <c r="D171" i="4"/>
  <c r="D173" i="4" l="1"/>
  <c r="C173" i="4"/>
  <c r="D174" i="4" l="1"/>
  <c r="C174" i="4"/>
  <c r="C175" i="4" l="1"/>
  <c r="C176" i="4" l="1"/>
  <c r="D175" i="4"/>
  <c r="D177" i="4" l="1"/>
  <c r="C177" i="4"/>
  <c r="D176" i="4"/>
  <c r="C178" i="4" l="1"/>
  <c r="C179" i="4" l="1"/>
  <c r="D178" i="4"/>
  <c r="C180" i="4" l="1"/>
  <c r="D179" i="4"/>
  <c r="C181" i="4" l="1"/>
  <c r="D180" i="4"/>
  <c r="C182" i="4" l="1"/>
  <c r="D181" i="4"/>
  <c r="C183" i="4" l="1"/>
  <c r="D182" i="4"/>
  <c r="C184" i="4" l="1"/>
  <c r="D183" i="4"/>
  <c r="C185" i="4" l="1"/>
  <c r="D185" i="4"/>
  <c r="D184" i="4"/>
  <c r="C186" i="4" l="1"/>
  <c r="C187" i="4" l="1"/>
  <c r="D186" i="4"/>
  <c r="C188" i="4" l="1"/>
  <c r="D187" i="4"/>
  <c r="C189" i="4" l="1"/>
  <c r="D188" i="4"/>
  <c r="C190" i="4" l="1"/>
  <c r="D189" i="4"/>
  <c r="C191" i="4" l="1"/>
  <c r="D190" i="4"/>
  <c r="C192" i="4" l="1"/>
  <c r="D191" i="4"/>
  <c r="C193" i="4" l="1"/>
  <c r="D193" i="4" s="1"/>
  <c r="D192" i="4"/>
  <c r="C194" i="4" l="1"/>
  <c r="C195" i="4" l="1"/>
  <c r="D194" i="4"/>
  <c r="C196" i="4" l="1"/>
  <c r="D195" i="4"/>
  <c r="C197" i="4" l="1"/>
  <c r="D196" i="4"/>
  <c r="C198" i="4" l="1"/>
  <c r="D197" i="4"/>
  <c r="D199" i="4" l="1"/>
  <c r="C199" i="4"/>
  <c r="D198" i="4"/>
  <c r="C200" i="4" l="1"/>
  <c r="C201" i="4" l="1"/>
  <c r="D201" i="4" s="1"/>
  <c r="D200" i="4"/>
  <c r="C202" i="4" l="1"/>
  <c r="C203" i="4" l="1"/>
  <c r="D202" i="4"/>
  <c r="C204" i="4" l="1"/>
  <c r="D203" i="4"/>
  <c r="C205" i="4" l="1"/>
  <c r="D204" i="4"/>
  <c r="D206" i="4" l="1"/>
  <c r="C206" i="4"/>
  <c r="D205" i="4"/>
  <c r="C207" i="4" l="1"/>
  <c r="C208" i="4" l="1"/>
  <c r="D207" i="4"/>
  <c r="C209" i="4" l="1"/>
  <c r="D209" i="4" s="1"/>
  <c r="D208" i="4"/>
  <c r="C210" i="4" l="1"/>
  <c r="C211" i="4" l="1"/>
  <c r="D210" i="4"/>
  <c r="C212" i="4" l="1"/>
  <c r="D211" i="4"/>
  <c r="C213" i="4" l="1"/>
  <c r="D212" i="4"/>
  <c r="C214" i="4" l="1"/>
  <c r="D213" i="4"/>
  <c r="C215" i="4" l="1"/>
  <c r="D214" i="4"/>
  <c r="D216" i="4" l="1"/>
  <c r="C216" i="4"/>
  <c r="D215" i="4"/>
  <c r="C217" i="4" l="1"/>
  <c r="D217" i="4"/>
  <c r="C218" i="4" l="1"/>
  <c r="C219" i="4" l="1"/>
  <c r="D218" i="4"/>
  <c r="C220" i="4" l="1"/>
  <c r="D219" i="4"/>
  <c r="C221" i="4" l="1"/>
  <c r="D220" i="4"/>
  <c r="C222" i="4" l="1"/>
  <c r="D221" i="4"/>
  <c r="C223" i="4" l="1"/>
  <c r="D222" i="4"/>
  <c r="C224" i="4" l="1"/>
  <c r="D223" i="4"/>
  <c r="C225" i="4" l="1"/>
  <c r="D225" i="4" s="1"/>
  <c r="D224" i="4"/>
  <c r="C226" i="4" l="1"/>
  <c r="C227" i="4" l="1"/>
  <c r="D226" i="4"/>
  <c r="C228" i="4" l="1"/>
  <c r="D227" i="4"/>
  <c r="C229" i="4" l="1"/>
  <c r="D228" i="4"/>
  <c r="C230" i="4" l="1"/>
  <c r="D229" i="4"/>
  <c r="C231" i="4" l="1"/>
  <c r="D230" i="4"/>
  <c r="C232" i="4" l="1"/>
  <c r="D231" i="4"/>
  <c r="C233" i="4" l="1"/>
  <c r="D233" i="4" s="1"/>
  <c r="D232" i="4"/>
  <c r="C234" i="4" l="1"/>
  <c r="C235" i="4" l="1"/>
  <c r="D234" i="4"/>
  <c r="C236" i="4" l="1"/>
  <c r="D235" i="4"/>
  <c r="C237" i="4" l="1"/>
  <c r="D236" i="4"/>
  <c r="C238" i="4" l="1"/>
  <c r="D237" i="4"/>
  <c r="C239" i="4" l="1"/>
  <c r="D238" i="4"/>
  <c r="C240" i="4" l="1"/>
  <c r="D239" i="4"/>
  <c r="C241" i="4" l="1"/>
  <c r="D241" i="4"/>
  <c r="D240" i="4"/>
  <c r="C242" i="4" l="1"/>
  <c r="C243" i="4" l="1"/>
  <c r="D242" i="4"/>
  <c r="C244" i="4" l="1"/>
  <c r="D243" i="4"/>
  <c r="C245" i="4" l="1"/>
  <c r="D244" i="4"/>
  <c r="C246" i="4" l="1"/>
  <c r="D245" i="4"/>
  <c r="C247" i="4" l="1"/>
  <c r="D246" i="4"/>
  <c r="C248" i="4" l="1"/>
  <c r="D247" i="4"/>
  <c r="C249" i="4" l="1"/>
  <c r="D249" i="4"/>
  <c r="D248" i="4"/>
  <c r="C250" i="4" l="1"/>
  <c r="C251" i="4" l="1"/>
  <c r="D250" i="4"/>
  <c r="C252" i="4" l="1"/>
  <c r="D251" i="4"/>
  <c r="C253" i="4" l="1"/>
  <c r="D252" i="4"/>
  <c r="C254" i="4" l="1"/>
  <c r="D253" i="4"/>
  <c r="C255" i="4" l="1"/>
  <c r="D254" i="4"/>
  <c r="C256" i="4" l="1"/>
  <c r="D255" i="4"/>
  <c r="C257" i="4" l="1"/>
  <c r="D257" i="4"/>
  <c r="D256" i="4"/>
  <c r="C258" i="4" l="1"/>
  <c r="C259" i="4" l="1"/>
  <c r="D259" i="4" s="1"/>
  <c r="D258" i="4"/>
  <c r="C260" i="4" l="1"/>
  <c r="C261" i="4" l="1"/>
  <c r="D261" i="4" s="1"/>
  <c r="D260" i="4"/>
  <c r="C262" i="4" l="1"/>
  <c r="C263" i="4" l="1"/>
  <c r="D263" i="4"/>
  <c r="D262" i="4"/>
  <c r="C264" i="4" l="1"/>
  <c r="C265" i="4" l="1"/>
  <c r="D265" i="4"/>
  <c r="D264" i="4"/>
  <c r="D266" i="4" l="1"/>
  <c r="C266" i="4"/>
  <c r="C267" i="4" l="1"/>
  <c r="D267" i="4" s="1"/>
  <c r="C268" i="4" l="1"/>
  <c r="C269" i="4" l="1"/>
  <c r="D269" i="4" s="1"/>
  <c r="D268" i="4"/>
  <c r="C270" i="4" l="1"/>
  <c r="C271" i="4" l="1"/>
  <c r="D271" i="4" s="1"/>
  <c r="D270" i="4"/>
  <c r="C272" i="4" l="1"/>
  <c r="C273" i="4" l="1"/>
  <c r="D273" i="4" s="1"/>
  <c r="D272" i="4"/>
  <c r="C274" i="4" l="1"/>
  <c r="C275" i="4" l="1"/>
  <c r="D275" i="4"/>
  <c r="D274" i="4"/>
  <c r="C276" i="4" l="1"/>
  <c r="C277" i="4" l="1"/>
  <c r="D277" i="4"/>
  <c r="D276" i="4"/>
  <c r="C278" i="4" l="1"/>
  <c r="C279" i="4" l="1"/>
  <c r="D279" i="4" s="1"/>
  <c r="D278" i="4"/>
  <c r="C280" i="4" l="1"/>
  <c r="C281" i="4" l="1"/>
  <c r="D281" i="4"/>
  <c r="D280" i="4"/>
  <c r="C282" i="4" l="1"/>
  <c r="C283" i="4" l="1"/>
  <c r="D283" i="4"/>
  <c r="D282" i="4"/>
  <c r="C284" i="4" l="1"/>
  <c r="C285" i="4" l="1"/>
  <c r="D285" i="4" s="1"/>
  <c r="D284" i="4"/>
  <c r="C286" i="4" l="1"/>
  <c r="C287" i="4" l="1"/>
  <c r="D287" i="4"/>
  <c r="D286" i="4"/>
  <c r="C288" i="4" l="1"/>
  <c r="C289" i="4" l="1"/>
  <c r="D289" i="4" s="1"/>
  <c r="D288" i="4"/>
  <c r="C290" i="4" l="1"/>
  <c r="C291" i="4" l="1"/>
  <c r="D291" i="4"/>
  <c r="D290" i="4"/>
  <c r="C292" i="4" l="1"/>
  <c r="C293" i="4" l="1"/>
  <c r="D293" i="4" s="1"/>
  <c r="D292" i="4"/>
  <c r="C294" i="4" l="1"/>
  <c r="C295" i="4" l="1"/>
  <c r="D295" i="4" s="1"/>
  <c r="D294" i="4"/>
  <c r="C296" i="4" l="1"/>
  <c r="C297" i="4" l="1"/>
  <c r="D297" i="4"/>
  <c r="D296" i="4"/>
  <c r="C298" i="4" l="1"/>
  <c r="C299" i="4" l="1"/>
  <c r="D299" i="4" s="1"/>
  <c r="D298" i="4"/>
  <c r="C300" i="4" l="1"/>
  <c r="C301" i="4" l="1"/>
  <c r="D301" i="4"/>
  <c r="D300" i="4"/>
  <c r="C302" i="4" l="1"/>
  <c r="C303" i="4" l="1"/>
  <c r="D303" i="4"/>
  <c r="D302" i="4"/>
  <c r="C304" i="4" l="1"/>
  <c r="C305" i="4" l="1"/>
  <c r="D305" i="4" s="1"/>
  <c r="D304" i="4"/>
  <c r="C306" i="4" l="1"/>
  <c r="C307" i="4" l="1"/>
  <c r="D307" i="4"/>
  <c r="D306" i="4"/>
  <c r="C308" i="4" l="1"/>
  <c r="C309" i="4" l="1"/>
  <c r="D309" i="4"/>
  <c r="D308" i="4"/>
  <c r="C310" i="4" l="1"/>
  <c r="C311" i="4" l="1"/>
  <c r="D311" i="4" s="1"/>
  <c r="D310" i="4"/>
  <c r="C312" i="4" l="1"/>
  <c r="C313" i="4" l="1"/>
  <c r="D313" i="4" s="1"/>
  <c r="D312" i="4"/>
  <c r="C314" i="4" l="1"/>
  <c r="C315" i="4" l="1"/>
  <c r="D315" i="4" s="1"/>
  <c r="D314" i="4"/>
  <c r="C316" i="4" l="1"/>
  <c r="C317" i="4" l="1"/>
  <c r="D317" i="4"/>
  <c r="D316" i="4"/>
  <c r="C318" i="4" l="1"/>
  <c r="C319" i="4" l="1"/>
  <c r="D318" i="4"/>
  <c r="C320" i="4" l="1"/>
  <c r="D319" i="4"/>
  <c r="C321" i="4" l="1"/>
  <c r="D321" i="4" s="1"/>
  <c r="D320" i="4"/>
  <c r="C322" i="4" l="1"/>
  <c r="C323" i="4" l="1"/>
  <c r="D323" i="4"/>
  <c r="D322" i="4"/>
  <c r="D324" i="4" l="1"/>
  <c r="C324" i="4"/>
  <c r="C325" i="4" l="1"/>
  <c r="D325" i="4"/>
  <c r="C326" i="4" l="1"/>
  <c r="C327" i="4" l="1"/>
  <c r="D327" i="4"/>
  <c r="D326" i="4"/>
  <c r="C328" i="4" l="1"/>
  <c r="C329" i="4" l="1"/>
  <c r="D329" i="4"/>
  <c r="D328" i="4"/>
  <c r="C330" i="4" l="1"/>
  <c r="C331" i="4" l="1"/>
  <c r="D331" i="4"/>
  <c r="D330" i="4"/>
  <c r="C332" i="4" l="1"/>
  <c r="C333" i="4" l="1"/>
  <c r="D333" i="4"/>
  <c r="D332" i="4"/>
  <c r="C334" i="4" l="1"/>
  <c r="C335" i="4" l="1"/>
  <c r="D335" i="4"/>
  <c r="D334" i="4"/>
  <c r="C336" i="4" l="1"/>
  <c r="C337" i="4" l="1"/>
  <c r="D336" i="4"/>
  <c r="C338" i="4" l="1"/>
  <c r="D337" i="4"/>
  <c r="C339" i="4" l="1"/>
  <c r="D339" i="4" s="1"/>
  <c r="D338" i="4"/>
  <c r="C340" i="4" l="1"/>
  <c r="C341" i="4" l="1"/>
  <c r="D340" i="4"/>
  <c r="C342" i="4" l="1"/>
  <c r="D341" i="4"/>
  <c r="C343" i="4" l="1"/>
  <c r="D343" i="4"/>
  <c r="D342" i="4"/>
  <c r="C344" i="4" l="1"/>
  <c r="C345" i="4" l="1"/>
  <c r="D345" i="4"/>
  <c r="D344" i="4"/>
  <c r="C346" i="4" l="1"/>
  <c r="C347" i="4" l="1"/>
  <c r="D347" i="4"/>
  <c r="D346" i="4"/>
  <c r="C348" i="4" l="1"/>
  <c r="C349" i="4" l="1"/>
  <c r="D349" i="4"/>
  <c r="D348" i="4"/>
  <c r="C350" i="4" l="1"/>
  <c r="C351" i="4" l="1"/>
  <c r="D351" i="4"/>
  <c r="D350" i="4"/>
  <c r="C352" i="4" l="1"/>
  <c r="C353" i="4" l="1"/>
  <c r="D353" i="4"/>
  <c r="D352" i="4"/>
  <c r="C354" i="4" l="1"/>
  <c r="C355" i="4" l="1"/>
  <c r="D355" i="4"/>
  <c r="D354" i="4"/>
  <c r="C356" i="4" l="1"/>
  <c r="C357" i="4" l="1"/>
  <c r="D357" i="4"/>
  <c r="D356" i="4"/>
  <c r="C358" i="4" l="1"/>
  <c r="C359" i="4" l="1"/>
  <c r="D359" i="4"/>
  <c r="D358" i="4"/>
  <c r="C360" i="4" l="1"/>
  <c r="C361" i="4" l="1"/>
  <c r="D361" i="4"/>
  <c r="D360" i="4"/>
  <c r="C362" i="4" l="1"/>
  <c r="C363" i="4" l="1"/>
  <c r="D363" i="4"/>
  <c r="D362" i="4"/>
  <c r="C364" i="4" l="1"/>
  <c r="C365" i="4" l="1"/>
  <c r="D364" i="4"/>
  <c r="C366" i="4" l="1"/>
  <c r="D365" i="4"/>
  <c r="C367" i="4" l="1"/>
  <c r="D366" i="4"/>
  <c r="C368" i="4" l="1"/>
  <c r="D367" i="4"/>
  <c r="C369" i="4" l="1"/>
  <c r="D368" i="4"/>
  <c r="C370" i="4" l="1"/>
  <c r="D369" i="4"/>
  <c r="C371" i="4" l="1"/>
  <c r="D371" i="4"/>
  <c r="D370" i="4"/>
  <c r="C372" i="4" l="1"/>
  <c r="C373" i="4" l="1"/>
  <c r="D372" i="4"/>
  <c r="C374" i="4" l="1"/>
  <c r="D373" i="4"/>
  <c r="C375" i="4" l="1"/>
  <c r="D374" i="4"/>
  <c r="C376" i="4" l="1"/>
  <c r="D375" i="4"/>
  <c r="C377" i="4" l="1"/>
  <c r="D376" i="4"/>
  <c r="C378" i="4" l="1"/>
  <c r="D377" i="4"/>
  <c r="C379" i="4" l="1"/>
  <c r="D379" i="4"/>
  <c r="D378" i="4"/>
  <c r="C380" i="4" l="1"/>
  <c r="C381" i="4" l="1"/>
  <c r="D380" i="4"/>
  <c r="C382" i="4" l="1"/>
  <c r="D381" i="4"/>
  <c r="C383" i="4" l="1"/>
  <c r="D382" i="4"/>
  <c r="C384" i="4" l="1"/>
  <c r="D383" i="4"/>
  <c r="C385" i="4" l="1"/>
  <c r="D384" i="4"/>
  <c r="C386" i="4" l="1"/>
  <c r="D385" i="4"/>
  <c r="C387" i="4" l="1"/>
  <c r="D387" i="4" s="1"/>
  <c r="D386" i="4"/>
  <c r="C388" i="4" l="1"/>
  <c r="C389" i="4" l="1"/>
  <c r="D388" i="4"/>
  <c r="C390" i="4" l="1"/>
  <c r="D389" i="4"/>
  <c r="C391" i="4" l="1"/>
  <c r="D390" i="4"/>
  <c r="C392" i="4" l="1"/>
  <c r="D391" i="4"/>
  <c r="C393" i="4" l="1"/>
  <c r="D392" i="4"/>
  <c r="C394" i="4" l="1"/>
  <c r="D393" i="4"/>
  <c r="C395" i="4" l="1"/>
  <c r="D395" i="4" s="1"/>
  <c r="D394" i="4"/>
  <c r="C396" i="4" l="1"/>
  <c r="C397" i="4" l="1"/>
  <c r="D396" i="4"/>
  <c r="C398" i="4" l="1"/>
  <c r="D397" i="4"/>
  <c r="C399" i="4" l="1"/>
  <c r="D398" i="4"/>
  <c r="C400" i="4" l="1"/>
  <c r="D399" i="4"/>
  <c r="C401" i="4" l="1"/>
  <c r="D400" i="4"/>
  <c r="C402" i="4" l="1"/>
  <c r="D401" i="4"/>
  <c r="C403" i="4" l="1"/>
  <c r="D403" i="4"/>
  <c r="D402" i="4"/>
  <c r="C404" i="4" l="1"/>
  <c r="C405" i="4" l="1"/>
  <c r="D405" i="4"/>
  <c r="D404" i="4"/>
  <c r="C406" i="4" l="1"/>
  <c r="C407" i="4" l="1"/>
  <c r="D407" i="4"/>
  <c r="D406" i="4"/>
  <c r="C408" i="4" l="1"/>
  <c r="C409" i="4" l="1"/>
  <c r="D409" i="4"/>
  <c r="D408" i="4"/>
  <c r="C410" i="4" l="1"/>
  <c r="C411" i="4" l="1"/>
  <c r="D411" i="4" s="1"/>
  <c r="D410" i="4"/>
  <c r="C412" i="4" l="1"/>
  <c r="C413" i="4" l="1"/>
  <c r="D413" i="4" s="1"/>
  <c r="D412" i="4"/>
  <c r="C414" i="4" l="1"/>
  <c r="C415" i="4" l="1"/>
  <c r="D415" i="4"/>
  <c r="D414" i="4"/>
  <c r="C416" i="4" l="1"/>
  <c r="C417" i="4" l="1"/>
  <c r="D417" i="4" s="1"/>
  <c r="D416" i="4"/>
  <c r="C418" i="4" l="1"/>
  <c r="C419" i="4" l="1"/>
  <c r="D419" i="4"/>
  <c r="D418" i="4"/>
  <c r="C420" i="4" l="1"/>
  <c r="C421" i="4" l="1"/>
  <c r="D421" i="4" s="1"/>
  <c r="D420" i="4"/>
  <c r="C422" i="4" l="1"/>
  <c r="C423" i="4" l="1"/>
  <c r="D423" i="4"/>
  <c r="D422" i="4"/>
  <c r="C424" i="4" l="1"/>
  <c r="C425" i="4" l="1"/>
  <c r="D425" i="4" s="1"/>
  <c r="D424" i="4"/>
  <c r="C426" i="4" l="1"/>
  <c r="C427" i="4" l="1"/>
  <c r="D427" i="4" s="1"/>
  <c r="D426" i="4"/>
  <c r="C428" i="4" l="1"/>
  <c r="C429" i="4" l="1"/>
  <c r="D429" i="4" s="1"/>
  <c r="D428" i="4"/>
  <c r="C430" i="4" l="1"/>
  <c r="C431" i="4" l="1"/>
  <c r="D431" i="4" s="1"/>
  <c r="D430" i="4"/>
  <c r="C432" i="4" l="1"/>
  <c r="C433" i="4" l="1"/>
  <c r="D433" i="4" s="1"/>
  <c r="D432" i="4"/>
  <c r="C434" i="4" l="1"/>
  <c r="C435" i="4" l="1"/>
  <c r="D435" i="4" s="1"/>
  <c r="D434" i="4"/>
  <c r="C436" i="4" l="1"/>
  <c r="C437" i="4" l="1"/>
  <c r="D437" i="4"/>
  <c r="D436" i="4"/>
  <c r="C438" i="4" l="1"/>
  <c r="C439" i="4" l="1"/>
  <c r="D439" i="4" s="1"/>
  <c r="D438" i="4"/>
  <c r="C440" i="4" l="1"/>
  <c r="C441" i="4" l="1"/>
  <c r="D441" i="4" s="1"/>
  <c r="D440" i="4"/>
  <c r="C442" i="4" l="1"/>
  <c r="C443" i="4" l="1"/>
  <c r="D443" i="4"/>
  <c r="D442" i="4"/>
  <c r="C444" i="4" l="1"/>
  <c r="C445" i="4" l="1"/>
  <c r="D445" i="4" s="1"/>
  <c r="D444" i="4"/>
  <c r="D446" i="4" l="1"/>
  <c r="C446" i="4"/>
  <c r="C447" i="4" l="1"/>
  <c r="D447" i="4"/>
  <c r="C448" i="4" l="1"/>
  <c r="C449" i="4" l="1"/>
  <c r="D448" i="4"/>
  <c r="C450" i="4" l="1"/>
  <c r="D449" i="4"/>
  <c r="C451" i="4" l="1"/>
  <c r="D450" i="4"/>
  <c r="C452" i="4" l="1"/>
  <c r="D451" i="4"/>
  <c r="C453" i="4" l="1"/>
  <c r="D452" i="4"/>
  <c r="C454" i="4" l="1"/>
  <c r="D453" i="4"/>
  <c r="C455" i="4" l="1"/>
  <c r="D454" i="4"/>
  <c r="C456" i="4" l="1"/>
  <c r="D455" i="4"/>
  <c r="C457" i="4" l="1"/>
  <c r="D456" i="4"/>
  <c r="C458" i="4" l="1"/>
  <c r="D457" i="4"/>
  <c r="C459" i="4" l="1"/>
  <c r="D458" i="4"/>
  <c r="C460" i="4" l="1"/>
  <c r="D459" i="4"/>
  <c r="C461" i="4" l="1"/>
  <c r="D460" i="4"/>
  <c r="C462" i="4" l="1"/>
  <c r="D461" i="4"/>
  <c r="C463" i="4" l="1"/>
  <c r="D462" i="4"/>
  <c r="C464" i="4" l="1"/>
  <c r="D463" i="4"/>
  <c r="C465" i="4" l="1"/>
  <c r="D464" i="4"/>
  <c r="C466" i="4" l="1"/>
  <c r="D465" i="4"/>
  <c r="C467" i="4" l="1"/>
  <c r="D466" i="4"/>
  <c r="C468" i="4" l="1"/>
  <c r="D467" i="4"/>
  <c r="C469" i="4" l="1"/>
  <c r="D468" i="4"/>
  <c r="C470" i="4" l="1"/>
  <c r="D469" i="4"/>
  <c r="C471" i="4" l="1"/>
  <c r="D470" i="4"/>
  <c r="C472" i="4" l="1"/>
  <c r="D471" i="4"/>
  <c r="C473" i="4" l="1"/>
  <c r="D472" i="4"/>
  <c r="C474" i="4" l="1"/>
  <c r="D473" i="4"/>
  <c r="C475" i="4" l="1"/>
  <c r="D474" i="4"/>
  <c r="C476" i="4" l="1"/>
  <c r="D475" i="4"/>
  <c r="C477" i="4" l="1"/>
  <c r="D476" i="4"/>
  <c r="C478" i="4" l="1"/>
  <c r="D477" i="4"/>
  <c r="C479" i="4" l="1"/>
  <c r="D478" i="4"/>
  <c r="C480" i="4" l="1"/>
  <c r="D479" i="4"/>
  <c r="C481" i="4" l="1"/>
  <c r="D480" i="4"/>
  <c r="C482" i="4" l="1"/>
  <c r="D481" i="4"/>
  <c r="C483" i="4" l="1"/>
  <c r="D482" i="4"/>
  <c r="C484" i="4" l="1"/>
  <c r="D483" i="4"/>
  <c r="C485" i="4" l="1"/>
  <c r="D484" i="4"/>
  <c r="C486" i="4" l="1"/>
  <c r="D485" i="4"/>
  <c r="C487" i="4" l="1"/>
  <c r="D486" i="4"/>
  <c r="C488" i="4" l="1"/>
  <c r="D487" i="4"/>
  <c r="C489" i="4" l="1"/>
  <c r="D488" i="4"/>
  <c r="C490" i="4" l="1"/>
  <c r="D489" i="4"/>
  <c r="C491" i="4" l="1"/>
  <c r="D490" i="4"/>
  <c r="C492" i="4" l="1"/>
  <c r="D491" i="4"/>
  <c r="C493" i="4" l="1"/>
  <c r="D492" i="4"/>
  <c r="C494" i="4" l="1"/>
  <c r="D493" i="4"/>
  <c r="C495" i="4" l="1"/>
  <c r="D494" i="4"/>
  <c r="C496" i="4" l="1"/>
  <c r="D495" i="4"/>
  <c r="C497" i="4" l="1"/>
  <c r="D496" i="4"/>
  <c r="C498" i="4" l="1"/>
  <c r="D497" i="4"/>
  <c r="C499" i="4" l="1"/>
  <c r="D498" i="4"/>
  <c r="C500" i="4" l="1"/>
  <c r="D499" i="4"/>
  <c r="C501" i="4" l="1"/>
  <c r="D500" i="4"/>
  <c r="D502" i="4" l="1"/>
  <c r="C502" i="4"/>
  <c r="D501" i="4"/>
  <c r="C503" i="4" l="1"/>
  <c r="C504" i="4" l="1"/>
  <c r="D503" i="4"/>
  <c r="C505" i="4" l="1"/>
  <c r="D504" i="4"/>
  <c r="C506" i="4" l="1"/>
  <c r="D505" i="4"/>
  <c r="C507" i="4" l="1"/>
  <c r="D506" i="4"/>
  <c r="C508" i="4" l="1"/>
  <c r="D507" i="4"/>
  <c r="C509" i="4" l="1"/>
  <c r="D508" i="4"/>
  <c r="C510" i="4" l="1"/>
  <c r="D509" i="4"/>
  <c r="C511" i="4" l="1"/>
  <c r="D510" i="4"/>
  <c r="C512" i="4" l="1"/>
  <c r="D511" i="4"/>
  <c r="C513" i="4" l="1"/>
  <c r="D512" i="4"/>
  <c r="C514" i="4" l="1"/>
  <c r="D513" i="4"/>
  <c r="C515" i="4" l="1"/>
  <c r="D514" i="4"/>
  <c r="C516" i="4" l="1"/>
  <c r="D515" i="4"/>
  <c r="C517" i="4" l="1"/>
  <c r="D516" i="4"/>
  <c r="C518" i="4" l="1"/>
  <c r="D517" i="4"/>
  <c r="C519" i="4" l="1"/>
  <c r="D518" i="4"/>
  <c r="C520" i="4" l="1"/>
  <c r="D519" i="4"/>
  <c r="C521" i="4" l="1"/>
  <c r="D520" i="4"/>
  <c r="C522" i="4" l="1"/>
  <c r="D521" i="4"/>
  <c r="C523" i="4" l="1"/>
  <c r="D522" i="4"/>
  <c r="C524" i="4" l="1"/>
  <c r="D523" i="4"/>
  <c r="C525" i="4" l="1"/>
  <c r="D524" i="4"/>
  <c r="C526" i="4" l="1"/>
  <c r="D525" i="4"/>
  <c r="C527" i="4" l="1"/>
  <c r="D526" i="4"/>
  <c r="C528" i="4" l="1"/>
  <c r="D527" i="4"/>
  <c r="C529" i="4" l="1"/>
  <c r="D528" i="4"/>
  <c r="C530" i="4" l="1"/>
  <c r="D529" i="4"/>
  <c r="C531" i="4" l="1"/>
  <c r="D530" i="4"/>
  <c r="C532" i="4" l="1"/>
  <c r="D531" i="4"/>
  <c r="C533" i="4" l="1"/>
  <c r="D532" i="4"/>
  <c r="C534" i="4" l="1"/>
  <c r="D533" i="4"/>
  <c r="C535" i="4" l="1"/>
  <c r="D534" i="4"/>
  <c r="C536" i="4" l="1"/>
  <c r="D535" i="4"/>
  <c r="C537" i="4" l="1"/>
  <c r="D536" i="4"/>
  <c r="D538" i="4" l="1"/>
  <c r="C538" i="4"/>
  <c r="D537" i="4"/>
  <c r="C539" i="4" l="1"/>
  <c r="C540" i="4" l="1"/>
  <c r="D539" i="4"/>
  <c r="C541" i="4" l="1"/>
  <c r="D540" i="4"/>
  <c r="C542" i="4" l="1"/>
  <c r="D541" i="4"/>
  <c r="C543" i="4" l="1"/>
  <c r="D542" i="4"/>
  <c r="D544" i="4" l="1"/>
  <c r="C544" i="4"/>
  <c r="D543" i="4"/>
  <c r="C545" i="4" l="1"/>
  <c r="C546" i="4" l="1"/>
  <c r="D545" i="4"/>
  <c r="C547" i="4" l="1"/>
  <c r="D546" i="4"/>
  <c r="C548" i="4" l="1"/>
  <c r="D547" i="4"/>
  <c r="C549" i="4" l="1"/>
  <c r="D548" i="4"/>
  <c r="C550" i="4" l="1"/>
  <c r="D549" i="4"/>
  <c r="C551" i="4" l="1"/>
  <c r="D550" i="4"/>
  <c r="C552" i="4" l="1"/>
  <c r="D551" i="4"/>
  <c r="C553" i="4" l="1"/>
  <c r="D552" i="4"/>
  <c r="C554" i="4" l="1"/>
  <c r="D553" i="4"/>
  <c r="C555" i="4" l="1"/>
  <c r="D554" i="4"/>
  <c r="C556" i="4" l="1"/>
  <c r="D555" i="4"/>
  <c r="C557" i="4" l="1"/>
  <c r="D556" i="4"/>
  <c r="C558" i="4" l="1"/>
  <c r="D557" i="4"/>
  <c r="C559" i="4" l="1"/>
  <c r="D558" i="4"/>
  <c r="C560" i="4" l="1"/>
  <c r="D559" i="4"/>
  <c r="C561" i="4" l="1"/>
  <c r="D560" i="4"/>
  <c r="C562" i="4" l="1"/>
  <c r="D561" i="4"/>
  <c r="C563" i="4" l="1"/>
  <c r="D562" i="4"/>
  <c r="C564" i="4" l="1"/>
  <c r="D563" i="4"/>
  <c r="C565" i="4" l="1"/>
  <c r="D564" i="4"/>
  <c r="C566" i="4" l="1"/>
  <c r="D565" i="4"/>
  <c r="C567" i="4" l="1"/>
  <c r="D566" i="4"/>
  <c r="C568" i="4" l="1"/>
  <c r="D567" i="4"/>
  <c r="C569" i="4" l="1"/>
  <c r="D568" i="4"/>
  <c r="C570" i="4" l="1"/>
  <c r="D569" i="4"/>
  <c r="C571" i="4" l="1"/>
  <c r="D570" i="4"/>
  <c r="C572" i="4" l="1"/>
  <c r="D571" i="4"/>
  <c r="C573" i="4" l="1"/>
  <c r="D572" i="4"/>
  <c r="C574" i="4" l="1"/>
  <c r="D573" i="4"/>
  <c r="C575" i="4" l="1"/>
  <c r="D574" i="4"/>
  <c r="C576" i="4" l="1"/>
  <c r="D575" i="4"/>
  <c r="C577" i="4" l="1"/>
  <c r="D576" i="4"/>
  <c r="C578" i="4" l="1"/>
  <c r="D577" i="4"/>
  <c r="C579" i="4" l="1"/>
  <c r="D578" i="4"/>
  <c r="C580" i="4" l="1"/>
  <c r="D579" i="4"/>
  <c r="C581" i="4" l="1"/>
  <c r="D580" i="4"/>
  <c r="C582" i="4" l="1"/>
  <c r="D581" i="4"/>
  <c r="C583" i="4" l="1"/>
  <c r="D582" i="4"/>
  <c r="C584" i="4" l="1"/>
  <c r="D583" i="4"/>
  <c r="C585" i="4" l="1"/>
  <c r="D584" i="4"/>
  <c r="C586" i="4" l="1"/>
  <c r="D585" i="4"/>
  <c r="C587" i="4" l="1"/>
  <c r="D586" i="4"/>
  <c r="C588" i="4" l="1"/>
  <c r="D587" i="4"/>
  <c r="C589" i="4" l="1"/>
  <c r="D588" i="4"/>
  <c r="C590" i="4" l="1"/>
  <c r="D589" i="4"/>
  <c r="C591" i="4" l="1"/>
  <c r="D590" i="4"/>
  <c r="C592" i="4" l="1"/>
  <c r="D591" i="4"/>
  <c r="C593" i="4" l="1"/>
  <c r="D592" i="4"/>
  <c r="C594" i="4" l="1"/>
  <c r="D593" i="4"/>
  <c r="C595" i="4" l="1"/>
  <c r="D594" i="4"/>
  <c r="C596" i="4" l="1"/>
  <c r="D595" i="4"/>
  <c r="C597" i="4" l="1"/>
  <c r="D596" i="4"/>
  <c r="C598" i="4" l="1"/>
  <c r="D597" i="4"/>
  <c r="C599" i="4" l="1"/>
  <c r="D598" i="4"/>
  <c r="C600" i="4" l="1"/>
  <c r="D599" i="4"/>
  <c r="C601" i="4" l="1"/>
  <c r="D600" i="4"/>
  <c r="C602" i="4" l="1"/>
  <c r="D601" i="4"/>
  <c r="C603" i="4" l="1"/>
  <c r="D602" i="4"/>
  <c r="C604" i="4" l="1"/>
  <c r="D603" i="4"/>
  <c r="C605" i="4" l="1"/>
  <c r="D604" i="4"/>
  <c r="C606" i="4" l="1"/>
  <c r="D605" i="4"/>
  <c r="C607" i="4" l="1"/>
  <c r="D606" i="4"/>
  <c r="C608" i="4" l="1"/>
  <c r="D607" i="4"/>
  <c r="C609" i="4" l="1"/>
  <c r="D608" i="4"/>
  <c r="C610" i="4" l="1"/>
  <c r="D609" i="4"/>
  <c r="C611" i="4" l="1"/>
  <c r="D610" i="4"/>
  <c r="C612" i="4" l="1"/>
  <c r="D611" i="4"/>
  <c r="C613" i="4" l="1"/>
  <c r="D612" i="4"/>
  <c r="C614" i="4" l="1"/>
  <c r="D613" i="4"/>
  <c r="C615" i="4" l="1"/>
  <c r="D614" i="4"/>
  <c r="C616" i="4" l="1"/>
  <c r="D615" i="4"/>
  <c r="C617" i="4" l="1"/>
  <c r="D616" i="4"/>
  <c r="C618" i="4" l="1"/>
  <c r="E33" i="4" s="1" a="1"/>
  <c r="D617" i="4"/>
  <c r="E617" i="4" l="1"/>
  <c r="E613" i="4"/>
  <c r="E609" i="4"/>
  <c r="E605" i="4"/>
  <c r="E601" i="4"/>
  <c r="E597" i="4"/>
  <c r="E593" i="4"/>
  <c r="E589" i="4"/>
  <c r="E585" i="4"/>
  <c r="E616" i="4"/>
  <c r="E612" i="4"/>
  <c r="E608" i="4"/>
  <c r="E604" i="4"/>
  <c r="E600" i="4"/>
  <c r="E596" i="4"/>
  <c r="E592" i="4"/>
  <c r="E588" i="4"/>
  <c r="E584" i="4"/>
  <c r="E580" i="4"/>
  <c r="E576" i="4"/>
  <c r="E572" i="4"/>
  <c r="E568" i="4"/>
  <c r="E564" i="4"/>
  <c r="E560" i="4"/>
  <c r="E556" i="4"/>
  <c r="E552" i="4"/>
  <c r="E548" i="4"/>
  <c r="E544" i="4"/>
  <c r="E540" i="4"/>
  <c r="E536" i="4"/>
  <c r="E532" i="4"/>
  <c r="E528" i="4"/>
  <c r="E524" i="4"/>
  <c r="E520" i="4"/>
  <c r="E516" i="4"/>
  <c r="E512" i="4"/>
  <c r="E508" i="4"/>
  <c r="E504" i="4"/>
  <c r="E500" i="4"/>
  <c r="E496" i="4"/>
  <c r="E492" i="4"/>
  <c r="E488" i="4"/>
  <c r="E484" i="4"/>
  <c r="E480" i="4"/>
  <c r="E476" i="4"/>
  <c r="E472" i="4"/>
  <c r="E468" i="4"/>
  <c r="E464" i="4"/>
  <c r="E460" i="4"/>
  <c r="E456" i="4"/>
  <c r="E452" i="4"/>
  <c r="E448" i="4"/>
  <c r="E444" i="4"/>
  <c r="E440" i="4"/>
  <c r="E436" i="4"/>
  <c r="E619" i="4"/>
  <c r="E615" i="4"/>
  <c r="E611" i="4"/>
  <c r="E607" i="4"/>
  <c r="E603" i="4"/>
  <c r="E599" i="4"/>
  <c r="E595" i="4"/>
  <c r="E591" i="4"/>
  <c r="E587" i="4"/>
  <c r="E583" i="4"/>
  <c r="E579" i="4"/>
  <c r="E575" i="4"/>
  <c r="E571" i="4"/>
  <c r="E567" i="4"/>
  <c r="E563" i="4"/>
  <c r="E559" i="4"/>
  <c r="E555" i="4"/>
  <c r="E551" i="4"/>
  <c r="E547" i="4"/>
  <c r="E543" i="4"/>
  <c r="E539" i="4"/>
  <c r="E535" i="4"/>
  <c r="E531" i="4"/>
  <c r="E527" i="4"/>
  <c r="E523" i="4"/>
  <c r="E519" i="4"/>
  <c r="E515" i="4"/>
  <c r="E511" i="4"/>
  <c r="E507" i="4"/>
  <c r="E503" i="4"/>
  <c r="E499" i="4"/>
  <c r="E495" i="4"/>
  <c r="E491" i="4"/>
  <c r="E487" i="4"/>
  <c r="E483" i="4"/>
  <c r="E479" i="4"/>
  <c r="E475" i="4"/>
  <c r="E471" i="4"/>
  <c r="E467" i="4"/>
  <c r="E463" i="4"/>
  <c r="E459" i="4"/>
  <c r="E455" i="4"/>
  <c r="E451" i="4"/>
  <c r="E447" i="4"/>
  <c r="E443" i="4"/>
  <c r="E614" i="4"/>
  <c r="E598" i="4"/>
  <c r="E582" i="4"/>
  <c r="E574" i="4"/>
  <c r="E566" i="4"/>
  <c r="E558" i="4"/>
  <c r="E550" i="4"/>
  <c r="E542" i="4"/>
  <c r="E534" i="4"/>
  <c r="E526" i="4"/>
  <c r="E518" i="4"/>
  <c r="E510" i="4"/>
  <c r="E502" i="4"/>
  <c r="E494" i="4"/>
  <c r="E486" i="4"/>
  <c r="E478" i="4"/>
  <c r="E470" i="4"/>
  <c r="E462" i="4"/>
  <c r="E454" i="4"/>
  <c r="E446" i="4"/>
  <c r="E439" i="4"/>
  <c r="E434" i="4"/>
  <c r="E430" i="4"/>
  <c r="E426" i="4"/>
  <c r="E422" i="4"/>
  <c r="E418" i="4"/>
  <c r="E414" i="4"/>
  <c r="E410" i="4"/>
  <c r="E406" i="4"/>
  <c r="E402" i="4"/>
  <c r="E398" i="4"/>
  <c r="E394" i="4"/>
  <c r="E390" i="4"/>
  <c r="E386" i="4"/>
  <c r="E382" i="4"/>
  <c r="E378" i="4"/>
  <c r="E374" i="4"/>
  <c r="E370" i="4"/>
  <c r="E366" i="4"/>
  <c r="E362" i="4"/>
  <c r="E358" i="4"/>
  <c r="E354" i="4"/>
  <c r="E350" i="4"/>
  <c r="E346" i="4"/>
  <c r="E342" i="4"/>
  <c r="E338" i="4"/>
  <c r="E334" i="4"/>
  <c r="E330" i="4"/>
  <c r="E326" i="4"/>
  <c r="E322" i="4"/>
  <c r="E318" i="4"/>
  <c r="E314" i="4"/>
  <c r="E310" i="4"/>
  <c r="E306" i="4"/>
  <c r="E302" i="4"/>
  <c r="E298" i="4"/>
  <c r="E294" i="4"/>
  <c r="E290" i="4"/>
  <c r="E286" i="4"/>
  <c r="E282" i="4"/>
  <c r="E278" i="4"/>
  <c r="E274" i="4"/>
  <c r="E270" i="4"/>
  <c r="E266" i="4"/>
  <c r="E262" i="4"/>
  <c r="E258" i="4"/>
  <c r="E254" i="4"/>
  <c r="E250" i="4"/>
  <c r="E246" i="4"/>
  <c r="E242" i="4"/>
  <c r="E238" i="4"/>
  <c r="E234" i="4"/>
  <c r="E230" i="4"/>
  <c r="E226" i="4"/>
  <c r="E222" i="4"/>
  <c r="E218" i="4"/>
  <c r="E214" i="4"/>
  <c r="E210" i="4"/>
  <c r="E206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610" i="4"/>
  <c r="E594" i="4"/>
  <c r="E581" i="4"/>
  <c r="E573" i="4"/>
  <c r="E565" i="4"/>
  <c r="E557" i="4"/>
  <c r="E549" i="4"/>
  <c r="E541" i="4"/>
  <c r="E533" i="4"/>
  <c r="E525" i="4"/>
  <c r="E517" i="4"/>
  <c r="E509" i="4"/>
  <c r="E501" i="4"/>
  <c r="E493" i="4"/>
  <c r="E485" i="4"/>
  <c r="E477" i="4"/>
  <c r="E469" i="4"/>
  <c r="E461" i="4"/>
  <c r="E453" i="4"/>
  <c r="E445" i="4"/>
  <c r="E438" i="4"/>
  <c r="E433" i="4"/>
  <c r="E429" i="4"/>
  <c r="E425" i="4"/>
  <c r="E421" i="4"/>
  <c r="E417" i="4"/>
  <c r="E413" i="4"/>
  <c r="E409" i="4"/>
  <c r="E405" i="4"/>
  <c r="E401" i="4"/>
  <c r="E397" i="4"/>
  <c r="E393" i="4"/>
  <c r="E389" i="4"/>
  <c r="E385" i="4"/>
  <c r="E381" i="4"/>
  <c r="E377" i="4"/>
  <c r="E373" i="4"/>
  <c r="E369" i="4"/>
  <c r="E365" i="4"/>
  <c r="E361" i="4"/>
  <c r="E357" i="4"/>
  <c r="E353" i="4"/>
  <c r="E349" i="4"/>
  <c r="E345" i="4"/>
  <c r="E341" i="4"/>
  <c r="E337" i="4"/>
  <c r="E333" i="4"/>
  <c r="E329" i="4"/>
  <c r="E325" i="4"/>
  <c r="E321" i="4"/>
  <c r="E317" i="4"/>
  <c r="E313" i="4"/>
  <c r="E309" i="4"/>
  <c r="E305" i="4"/>
  <c r="E301" i="4"/>
  <c r="E297" i="4"/>
  <c r="E293" i="4"/>
  <c r="E289" i="4"/>
  <c r="E285" i="4"/>
  <c r="E281" i="4"/>
  <c r="E277" i="4"/>
  <c r="E273" i="4"/>
  <c r="E269" i="4"/>
  <c r="E265" i="4"/>
  <c r="E261" i="4"/>
  <c r="E257" i="4"/>
  <c r="E253" i="4"/>
  <c r="E249" i="4"/>
  <c r="E245" i="4"/>
  <c r="E241" i="4"/>
  <c r="E237" i="4"/>
  <c r="E233" i="4"/>
  <c r="E229" i="4"/>
  <c r="E225" i="4"/>
  <c r="E221" i="4"/>
  <c r="E217" i="4"/>
  <c r="E213" i="4"/>
  <c r="E209" i="4"/>
  <c r="E205" i="4"/>
  <c r="E201" i="4"/>
  <c r="E197" i="4"/>
  <c r="E193" i="4"/>
  <c r="E189" i="4"/>
  <c r="E185" i="4"/>
  <c r="E181" i="4"/>
  <c r="E177" i="4"/>
  <c r="E173" i="4"/>
  <c r="E169" i="4"/>
  <c r="E165" i="4"/>
  <c r="E161" i="4"/>
  <c r="E157" i="4"/>
  <c r="E153" i="4"/>
  <c r="E149" i="4"/>
  <c r="E145" i="4"/>
  <c r="E141" i="4"/>
  <c r="E137" i="4"/>
  <c r="E133" i="4"/>
  <c r="E129" i="4"/>
  <c r="E125" i="4"/>
  <c r="E121" i="4"/>
  <c r="E117" i="4"/>
  <c r="E113" i="4"/>
  <c r="E109" i="4"/>
  <c r="E105" i="4"/>
  <c r="E101" i="4"/>
  <c r="E97" i="4"/>
  <c r="E93" i="4"/>
  <c r="E89" i="4"/>
  <c r="E85" i="4"/>
  <c r="E81" i="4"/>
  <c r="E77" i="4"/>
  <c r="E73" i="4"/>
  <c r="E69" i="4"/>
  <c r="E65" i="4"/>
  <c r="E61" i="4"/>
  <c r="E57" i="4"/>
  <c r="E53" i="4"/>
  <c r="E49" i="4"/>
  <c r="E45" i="4"/>
  <c r="E41" i="4"/>
  <c r="E37" i="4"/>
  <c r="E606" i="4"/>
  <c r="E590" i="4"/>
  <c r="E578" i="4"/>
  <c r="E570" i="4"/>
  <c r="E562" i="4"/>
  <c r="E554" i="4"/>
  <c r="E546" i="4"/>
  <c r="E538" i="4"/>
  <c r="E530" i="4"/>
  <c r="E522" i="4"/>
  <c r="E514" i="4"/>
  <c r="E506" i="4"/>
  <c r="E498" i="4"/>
  <c r="E490" i="4"/>
  <c r="E482" i="4"/>
  <c r="E474" i="4"/>
  <c r="E466" i="4"/>
  <c r="E458" i="4"/>
  <c r="E450" i="4"/>
  <c r="E442" i="4"/>
  <c r="E437" i="4"/>
  <c r="E432" i="4"/>
  <c r="E428" i="4"/>
  <c r="E424" i="4"/>
  <c r="E420" i="4"/>
  <c r="E416" i="4"/>
  <c r="E412" i="4"/>
  <c r="E408" i="4"/>
  <c r="E404" i="4"/>
  <c r="E400" i="4"/>
  <c r="E396" i="4"/>
  <c r="E392" i="4"/>
  <c r="E388" i="4"/>
  <c r="E384" i="4"/>
  <c r="E380" i="4"/>
  <c r="E376" i="4"/>
  <c r="E372" i="4"/>
  <c r="E368" i="4"/>
  <c r="E364" i="4"/>
  <c r="E360" i="4"/>
  <c r="E356" i="4"/>
  <c r="E352" i="4"/>
  <c r="E348" i="4"/>
  <c r="E344" i="4"/>
  <c r="E340" i="4"/>
  <c r="E336" i="4"/>
  <c r="E332" i="4"/>
  <c r="E328" i="4"/>
  <c r="E324" i="4"/>
  <c r="E320" i="4"/>
  <c r="E316" i="4"/>
  <c r="E312" i="4"/>
  <c r="E308" i="4"/>
  <c r="E304" i="4"/>
  <c r="E300" i="4"/>
  <c r="E296" i="4"/>
  <c r="E292" i="4"/>
  <c r="E288" i="4"/>
  <c r="E284" i="4"/>
  <c r="E280" i="4"/>
  <c r="E276" i="4"/>
  <c r="E272" i="4"/>
  <c r="E268" i="4"/>
  <c r="E264" i="4"/>
  <c r="E260" i="4"/>
  <c r="E256" i="4"/>
  <c r="E252" i="4"/>
  <c r="E248" i="4"/>
  <c r="E244" i="4"/>
  <c r="E240" i="4"/>
  <c r="E236" i="4"/>
  <c r="E232" i="4"/>
  <c r="E228" i="4"/>
  <c r="E224" i="4"/>
  <c r="E220" i="4"/>
  <c r="E216" i="4"/>
  <c r="E212" i="4"/>
  <c r="E208" i="4"/>
  <c r="E204" i="4"/>
  <c r="E200" i="4"/>
  <c r="E196" i="4"/>
  <c r="E192" i="4"/>
  <c r="E188" i="4"/>
  <c r="E184" i="4"/>
  <c r="E180" i="4"/>
  <c r="E176" i="4"/>
  <c r="E172" i="4"/>
  <c r="E168" i="4"/>
  <c r="E164" i="4"/>
  <c r="E160" i="4"/>
  <c r="E156" i="4"/>
  <c r="E152" i="4"/>
  <c r="E148" i="4"/>
  <c r="E144" i="4"/>
  <c r="E140" i="4"/>
  <c r="E136" i="4"/>
  <c r="E132" i="4"/>
  <c r="E128" i="4"/>
  <c r="E124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60" i="4"/>
  <c r="E56" i="4"/>
  <c r="E52" i="4"/>
  <c r="E48" i="4"/>
  <c r="E44" i="4"/>
  <c r="E40" i="4"/>
  <c r="E36" i="4"/>
  <c r="E33" i="4"/>
  <c r="E618" i="4"/>
  <c r="E602" i="4"/>
  <c r="E586" i="4"/>
  <c r="E577" i="4"/>
  <c r="E569" i="4"/>
  <c r="E561" i="4"/>
  <c r="E553" i="4"/>
  <c r="E545" i="4"/>
  <c r="E537" i="4"/>
  <c r="E529" i="4"/>
  <c r="E521" i="4"/>
  <c r="E513" i="4"/>
  <c r="E505" i="4"/>
  <c r="E497" i="4"/>
  <c r="E489" i="4"/>
  <c r="E481" i="4"/>
  <c r="E473" i="4"/>
  <c r="E465" i="4"/>
  <c r="E457" i="4"/>
  <c r="E449" i="4"/>
  <c r="E441" i="4"/>
  <c r="E435" i="4"/>
  <c r="E431" i="4"/>
  <c r="E427" i="4"/>
  <c r="E423" i="4"/>
  <c r="E419" i="4"/>
  <c r="E415" i="4"/>
  <c r="E411" i="4"/>
  <c r="E407" i="4"/>
  <c r="E403" i="4"/>
  <c r="E399" i="4"/>
  <c r="E395" i="4"/>
  <c r="E391" i="4"/>
  <c r="E387" i="4"/>
  <c r="E383" i="4"/>
  <c r="E379" i="4"/>
  <c r="E375" i="4"/>
  <c r="E371" i="4"/>
  <c r="E367" i="4"/>
  <c r="E363" i="4"/>
  <c r="E359" i="4"/>
  <c r="E355" i="4"/>
  <c r="E351" i="4"/>
  <c r="E347" i="4"/>
  <c r="E343" i="4"/>
  <c r="E339" i="4"/>
  <c r="E335" i="4"/>
  <c r="E331" i="4"/>
  <c r="E327" i="4"/>
  <c r="E323" i="4"/>
  <c r="E319" i="4"/>
  <c r="E315" i="4"/>
  <c r="E311" i="4"/>
  <c r="E307" i="4"/>
  <c r="E303" i="4"/>
  <c r="E299" i="4"/>
  <c r="E283" i="4"/>
  <c r="E267" i="4"/>
  <c r="E251" i="4"/>
  <c r="E235" i="4"/>
  <c r="E219" i="4"/>
  <c r="E203" i="4"/>
  <c r="E187" i="4"/>
  <c r="E171" i="4"/>
  <c r="E155" i="4"/>
  <c r="E139" i="4"/>
  <c r="E123" i="4"/>
  <c r="E107" i="4"/>
  <c r="E91" i="4"/>
  <c r="E75" i="4"/>
  <c r="E59" i="4"/>
  <c r="E43" i="4"/>
  <c r="E295" i="4"/>
  <c r="E279" i="4"/>
  <c r="E263" i="4"/>
  <c r="E247" i="4"/>
  <c r="E231" i="4"/>
  <c r="E215" i="4"/>
  <c r="E199" i="4"/>
  <c r="E183" i="4"/>
  <c r="E167" i="4"/>
  <c r="E151" i="4"/>
  <c r="E135" i="4"/>
  <c r="E119" i="4"/>
  <c r="E103" i="4"/>
  <c r="E87" i="4"/>
  <c r="E71" i="4"/>
  <c r="E55" i="4"/>
  <c r="E39" i="4"/>
  <c r="E291" i="4"/>
  <c r="E275" i="4"/>
  <c r="E259" i="4"/>
  <c r="E243" i="4"/>
  <c r="E227" i="4"/>
  <c r="E211" i="4"/>
  <c r="E195" i="4"/>
  <c r="E179" i="4"/>
  <c r="E163" i="4"/>
  <c r="E147" i="4"/>
  <c r="E131" i="4"/>
  <c r="E115" i="4"/>
  <c r="E99" i="4"/>
  <c r="E83" i="4"/>
  <c r="E67" i="4"/>
  <c r="E51" i="4"/>
  <c r="E35" i="4"/>
  <c r="E287" i="4"/>
  <c r="E271" i="4"/>
  <c r="E255" i="4"/>
  <c r="E239" i="4"/>
  <c r="E223" i="4"/>
  <c r="E207" i="4"/>
  <c r="E191" i="4"/>
  <c r="E175" i="4"/>
  <c r="E159" i="4"/>
  <c r="E143" i="4"/>
  <c r="E127" i="4"/>
  <c r="E111" i="4"/>
  <c r="E95" i="4"/>
  <c r="E79" i="4"/>
  <c r="E63" i="4"/>
  <c r="E47" i="4"/>
  <c r="D618" i="4"/>
</calcChain>
</file>

<file path=xl/sharedStrings.xml><?xml version="1.0" encoding="utf-8"?>
<sst xmlns="http://schemas.openxmlformats.org/spreadsheetml/2006/main" count="3397" uniqueCount="968">
  <si>
    <t>I bought all stocks here</t>
  </si>
  <si>
    <t>https://bookmap.com/members/ref/HEgz0HpgQB</t>
  </si>
  <si>
    <t>Winrate (&gt; 10%)</t>
  </si>
  <si>
    <t>Winrate (&gt; 50%)</t>
  </si>
  <si>
    <t>Biggest peak win</t>
  </si>
  <si>
    <t>Biggest held win</t>
  </si>
  <si>
    <t>Avg ret NAS/NYSE</t>
  </si>
  <si>
    <t>Avg ret OTC</t>
  </si>
  <si>
    <t>Avg. % If you held to NOW</t>
  </si>
  <si>
    <t>STOCK PERFORMANCE</t>
  </si>
  <si>
    <t>- Thank you -</t>
  </si>
  <si>
    <t>Updated ASAP</t>
  </si>
  <si>
    <t>@cardinal6000 @speculatore @edrexx09 @radiosilentplay</t>
  </si>
  <si>
    <t>Winrate (&gt; 5%)</t>
  </si>
  <si>
    <t>Winrate (&gt; 100%)</t>
  </si>
  <si>
    <t>Total ideas</t>
  </si>
  <si>
    <t>Count NAS/NYSE</t>
  </si>
  <si>
    <t>Count OTC</t>
  </si>
  <si>
    <t>Avg. % If you sold the TOPS</t>
  </si>
  <si>
    <t>Daily Stats</t>
  </si>
  <si>
    <t>Normalize?</t>
  </si>
  <si>
    <t>yes</t>
  </si>
  <si>
    <t>Relative vol?</t>
  </si>
  <si>
    <t>no</t>
  </si>
  <si>
    <t>a</t>
  </si>
  <si>
    <t>And everyone else</t>
  </si>
  <si>
    <t>Description</t>
  </si>
  <si>
    <t>Stock Type</t>
  </si>
  <si>
    <t>Watchlist?</t>
  </si>
  <si>
    <t>Symbol</t>
  </si>
  <si>
    <t>Call Number (first, second, etc?)</t>
  </si>
  <si>
    <t>PPS Found</t>
  </si>
  <si>
    <t>Date Added</t>
  </si>
  <si>
    <t>Current Quote (ONE DAY DELAYED)</t>
  </si>
  <si>
    <t>Highest price Since call (ONE DAY DELAYED)</t>
  </si>
  <si>
    <t>Date of peak since call</t>
  </si>
  <si>
    <t>Gain/Loss present(%)</t>
  </si>
  <si>
    <t>Gain/Loss if sold at top since call(%)</t>
  </si>
  <si>
    <t>Last High Compute Date</t>
  </si>
  <si>
    <t>Manual Override</t>
  </si>
  <si>
    <t>Shares OS</t>
  </si>
  <si>
    <t>Float</t>
  </si>
  <si>
    <t>Days Elapsed to High</t>
  </si>
  <si>
    <t>Country</t>
  </si>
  <si>
    <t>Sector</t>
  </si>
  <si>
    <t>Industry</t>
  </si>
  <si>
    <t>Social Sentiment (5 Days)</t>
  </si>
  <si>
    <t>Vol at Close</t>
  </si>
  <si>
    <t>Rating</t>
  </si>
  <si>
    <t>fClose</t>
  </si>
  <si>
    <t>200ma</t>
  </si>
  <si>
    <t>100ma</t>
  </si>
  <si>
    <t>50ma</t>
  </si>
  <si>
    <t>50dma</t>
  </si>
  <si>
    <t>20ma</t>
  </si>
  <si>
    <t>14ma</t>
  </si>
  <si>
    <t>8ma</t>
  </si>
  <si>
    <t>Slope 200ma</t>
  </si>
  <si>
    <t>Slope 100ma</t>
  </si>
  <si>
    <t>Slope 50ma</t>
  </si>
  <si>
    <t>Slope 50dma</t>
  </si>
  <si>
    <t>Slope 20ma</t>
  </si>
  <si>
    <t>Slope 14ma</t>
  </si>
  <si>
    <t>Slope 8ma</t>
  </si>
  <si>
    <t>Diff 200ma - 100ma</t>
  </si>
  <si>
    <t>Diff 200ma - 50ma</t>
  </si>
  <si>
    <t>Diff 200ma - 50dma</t>
  </si>
  <si>
    <t>Diff 200ma - 20ma</t>
  </si>
  <si>
    <t>Diff 200ma - 14ma</t>
  </si>
  <si>
    <t>Diff 200ma - 8ma</t>
  </si>
  <si>
    <t>Diff 100ma - 50ma</t>
  </si>
  <si>
    <t>Diff 100ma - 50dma</t>
  </si>
  <si>
    <t>Diff 100ma - 20ma</t>
  </si>
  <si>
    <t>Diff 100ma - 14ma</t>
  </si>
  <si>
    <t>Diff 100ma - 8ma</t>
  </si>
  <si>
    <t>Diff 50dma - 50ma</t>
  </si>
  <si>
    <t>Diff 50dma - 20ma</t>
  </si>
  <si>
    <t>Diff 50dma - 14ma</t>
  </si>
  <si>
    <t>Diff 50dma - 8ma</t>
  </si>
  <si>
    <t>Diff 50ma - 20ma</t>
  </si>
  <si>
    <t>Diff 50ma - 14ma</t>
  </si>
  <si>
    <t>Diff 50ma - 8ma</t>
  </si>
  <si>
    <t>Diff 20ma - 14ma</t>
  </si>
  <si>
    <t>Diff 20ma - 8ma</t>
  </si>
  <si>
    <t>Diff 14ma - 8ma</t>
  </si>
  <si>
    <t>Diff ALL</t>
  </si>
  <si>
    <t>Diff ALL 100ma</t>
  </si>
  <si>
    <t>Diff ALL 20ma</t>
  </si>
  <si>
    <t>VolumeAvg(5)</t>
  </si>
  <si>
    <t>VolumeAvg(10)</t>
  </si>
  <si>
    <t>VolumeAvg(20)</t>
  </si>
  <si>
    <t>VolumeAvg(50)</t>
  </si>
  <si>
    <t>VolumeAvg(100)</t>
  </si>
  <si>
    <t>VolumeAvg(200)</t>
  </si>
  <si>
    <t>RSI (14)</t>
  </si>
  <si>
    <t>UnfilledGapAbove(&gt;5%)</t>
  </si>
  <si>
    <t>UnfilledGapBelow(&gt;5%)</t>
  </si>
  <si>
    <t>Accu/Dist Line</t>
  </si>
  <si>
    <t>Accu/Dist Osc(2,5)</t>
  </si>
  <si>
    <t>ATR(14)</t>
  </si>
  <si>
    <t>SMA(ATR(14), 50)</t>
  </si>
  <si>
    <t>Delta (SMA(ATR(14,50)), ATR(14))</t>
  </si>
  <si>
    <t>Chaikin Vol(10)</t>
  </si>
  <si>
    <t>Chaikin Vol(50)</t>
  </si>
  <si>
    <t>Bbands(20,2) Upper</t>
  </si>
  <si>
    <t>Bbands(20,2) Lower</t>
  </si>
  <si>
    <t>Bbands(20,2) Middle</t>
  </si>
  <si>
    <t>Bbands(20,2) ULDelta</t>
  </si>
  <si>
    <t>MACD(12,26,9) Value</t>
  </si>
  <si>
    <t>MACD(12,26,9) Signal</t>
  </si>
  <si>
    <t>MACD(12,26,9) Histo</t>
  </si>
  <si>
    <t>MACD Value Slope</t>
  </si>
  <si>
    <t>High 253 Day</t>
  </si>
  <si>
    <t>% to High52</t>
  </si>
  <si>
    <t>Low 253 Day</t>
  </si>
  <si>
    <t>% To Low 52</t>
  </si>
  <si>
    <t>On Balance Vol</t>
  </si>
  <si>
    <t>Variance(10)</t>
  </si>
  <si>
    <t>Variance(20)</t>
  </si>
  <si>
    <t>Variance(50)</t>
  </si>
  <si>
    <t>WilliamsAD</t>
  </si>
  <si>
    <t>Above50ma</t>
  </si>
  <si>
    <t>Above50dma</t>
  </si>
  <si>
    <t>Above100ma</t>
  </si>
  <si>
    <t>Above200ma</t>
  </si>
  <si>
    <t>Vol50ma</t>
  </si>
  <si>
    <t>Vol100ma</t>
  </si>
  <si>
    <t>Vol200ma</t>
  </si>
  <si>
    <t>NAS/NYSE</t>
  </si>
  <si>
    <t>Fitz on Twitter: "$dtst $amst similar companies... explosive charts.... Long a few in both, purely r/r and speculation here" / Twitter</t>
  </si>
  <si>
    <t>amst</t>
  </si>
  <si>
    <t>USA</t>
  </si>
  <si>
    <t>Educational Services</t>
  </si>
  <si>
    <t>Software - Application</t>
  </si>
  <si>
    <t>dtst</t>
  </si>
  <si>
    <t>Information</t>
  </si>
  <si>
    <t>Information Technology Services</t>
  </si>
  <si>
    <t>Fitz on Twitter: "long $agri r/r play https://t.co/zeflftaQxI" / Twitter</t>
  </si>
  <si>
    <t>agri</t>
  </si>
  <si>
    <t>Canada</t>
  </si>
  <si>
    <t>Farm Products</t>
  </si>
  <si>
    <t>Fitz on Twitter: "$grnq in long r/r play, also NFT theme. Been a while since this one popped." / Twitter</t>
  </si>
  <si>
    <t>grnq</t>
  </si>
  <si>
    <t>Malaysia</t>
  </si>
  <si>
    <t>Conglomerates</t>
  </si>
  <si>
    <t>Fitz on Twitter: "long $frsx for a trade https://t.co/AEHY02FE4d" / Twitter</t>
  </si>
  <si>
    <t>frsx</t>
  </si>
  <si>
    <t>Israel</t>
  </si>
  <si>
    <t>Manufacturing</t>
  </si>
  <si>
    <t>Auto Parts</t>
  </si>
  <si>
    <t>Fitz on Twitter: "$anpc been a bidder all day, gonna go long medium size, this one's due for a gap. Don't really see them diluting much." / Twitter</t>
  </si>
  <si>
    <t>anpc</t>
  </si>
  <si>
    <t>China</t>
  </si>
  <si>
    <t>Health Care and Social Assistance</t>
  </si>
  <si>
    <t>Biotechnology</t>
  </si>
  <si>
    <t>Fitz on Twitter: "$bhat $atif 9900 share block trades and both are bottomed, last time we saw weird sh*t on these stocks they went bonkers. Long a few on both..." / Twitter</t>
  </si>
  <si>
    <t>atif</t>
  </si>
  <si>
    <t>Professional, Scientific, and Technical Services</t>
  </si>
  <si>
    <t>Capital Markets</t>
  </si>
  <si>
    <t>bhat</t>
  </si>
  <si>
    <t>Electronic Gaming &amp; Multimedia</t>
  </si>
  <si>
    <t>Fitz on Twitter: "Long $bdr today 1.16. Infrastructure. Low floaters will stay in season, ripe for any sort of pump. https://t.co/G5uNIiDjMV" / Twitter</t>
  </si>
  <si>
    <t>bdr</t>
  </si>
  <si>
    <t>Communication Equipment</t>
  </si>
  <si>
    <t>Fitz on Twitter: "$eng 5k long this morning, only risk is an offering" / Twitter</t>
  </si>
  <si>
    <t>eng</t>
  </si>
  <si>
    <t>Engineering &amp; Construction</t>
  </si>
  <si>
    <t>Fitz on Twitter: "Long $frln for a trade Stop around 4.5 if they dilute https://t.co/qH6dhCbsmH" / Twitter</t>
  </si>
  <si>
    <t>frln</t>
  </si>
  <si>
    <t>United Kingdom</t>
  </si>
  <si>
    <t>LOTTO !!!</t>
  </si>
  <si>
    <t>Fitz on Twitter: "$tlsa weekly double bottom in long lotto https://t.co/2AyFzQbvzQ" / Twitter</t>
  </si>
  <si>
    <t>tlsa</t>
  </si>
  <si>
    <t>Fitz on Twitter: "$qumu gap going back to July 2020 just filled time to fill the top gap long 2.62 https://t.co/Uub7CefzSf" / Twitter</t>
  </si>
  <si>
    <t>qumu</t>
  </si>
  <si>
    <t>Fitz on Twitter: "$nnvc next in small https://t.co/rrvjHSs6e4" / Twitter</t>
  </si>
  <si>
    <t>nnvc</t>
  </si>
  <si>
    <t>Fitz on Twitter: "$cuen bought some 3.29 tight stop" / Twitter</t>
  </si>
  <si>
    <t>cuen</t>
  </si>
  <si>
    <t>(1) Fitz on Twitter: "$gtbp bought some 11.3, short sale restricted" / Twitter</t>
  </si>
  <si>
    <t>gtbp</t>
  </si>
  <si>
    <t>OTC</t>
  </si>
  <si>
    <t>(1) Fitz on Twitter: "$qban .001 fill" / Twitter</t>
  </si>
  <si>
    <t>qban</t>
  </si>
  <si>
    <t>Fitz on Twitter: "$ctxr in small tight stop" / Twitter</t>
  </si>
  <si>
    <t>ctxr</t>
  </si>
  <si>
    <t>Fitz on Twitter: "$chci getting frontloaded" / Twitter</t>
  </si>
  <si>
    <t>chci</t>
  </si>
  <si>
    <t>Construction</t>
  </si>
  <si>
    <t>Real Estate - Diversified</t>
  </si>
  <si>
    <t>Fitz on Twitter: "bought $ocg 4.61 after seeing NFT pumps https://t.co/d5Uy0QZuSa" / Twitter</t>
  </si>
  <si>
    <t>ocg</t>
  </si>
  <si>
    <t>Retail Trade</t>
  </si>
  <si>
    <t>Internet Retail</t>
  </si>
  <si>
    <t>@cardinal6000</t>
  </si>
  <si>
    <t>Fitz on Twitter: "$staf bought some 3.44 today for a swing stop @ 52 wk low https://t.co/QcqhciajYd" / Twitter</t>
  </si>
  <si>
    <t>staf</t>
  </si>
  <si>
    <t>Staffing &amp; Employment Services</t>
  </si>
  <si>
    <t>Fitz on Twitter: "$efoi bought some 3.97 today, if it's not green tomorrow I'll have to exit https://t.co/N4Tz3qxOEM" / Twitter</t>
  </si>
  <si>
    <t>efoi</t>
  </si>
  <si>
    <t>Furnishings, Fixtures &amp; Appliances</t>
  </si>
  <si>
    <t>Fitz on Twitter: "$algs huge buys on the offer today, took some smalls on this interest https://t.co/fw3WYWB334" / Twitter</t>
  </si>
  <si>
    <t>algs</t>
  </si>
  <si>
    <t>Fitz on Twitter: "$pzoo resting order filled .0009 for the 200ma bounce https://t.co/g8vstIpkSH" / Twitter</t>
  </si>
  <si>
    <t>pzoo</t>
  </si>
  <si>
    <t>@speculatore</t>
  </si>
  <si>
    <t>Fitz on Twitter: "$ppsi me too... volume spike today" / Twitter</t>
  </si>
  <si>
    <t>ppsi</t>
  </si>
  <si>
    <t>Electrical Equipment &amp; Parts</t>
  </si>
  <si>
    <t>Fitz on Twitter: "$clps in a starter 4.18. Low floaters dip often. https://t.co/pSFTwxEY23" / Twitter</t>
  </si>
  <si>
    <t>clps</t>
  </si>
  <si>
    <t>Hong Kong</t>
  </si>
  <si>
    <t>Fitz on Twitter: "Taking a $eeiq lotto on the frontloads or whatever those spikes are https://t.co/Z1C3ojMPn6" / Twitter</t>
  </si>
  <si>
    <t>eeiq</t>
  </si>
  <si>
    <t>Education &amp; Training Services</t>
  </si>
  <si>
    <t>Fitz on Twitter: "$bdsx added 11.00 for a low-risk double bottom bounce. 7mil float. https://t.co/tRmfRq6pyO" / Twitter</t>
  </si>
  <si>
    <t>bdsx</t>
  </si>
  <si>
    <t>Diagnostics &amp; Research</t>
  </si>
  <si>
    <t>Fitz on Twitter: "$usws bought 1.05 Godly chart" / Twitter</t>
  </si>
  <si>
    <t>usws</t>
  </si>
  <si>
    <t>Mining, Quarrying, and Oil and Gas Extraction</t>
  </si>
  <si>
    <t>Oil &amp; Gas Midstream</t>
  </si>
  <si>
    <t>Fitz on Twitter: "$hgen bought some 16.16 for the bounce https://t.co/e8lmx3llV8" / Twitter</t>
  </si>
  <si>
    <t>hgen</t>
  </si>
  <si>
    <t>Fitz on Twitter: "$olb bought some..." / Twitter</t>
  </si>
  <si>
    <t>olb</t>
  </si>
  <si>
    <t>Fitz on Twitter: "$evol bought some Technology | Software - Application | USA https://t.co/3tk39zvxsr" / Twitter</t>
  </si>
  <si>
    <t>evol</t>
  </si>
  <si>
    <t>Fitz on Twitter: "$sglb bought some TECH https://t.co/bzdq8AtQdo" / Twitter</t>
  </si>
  <si>
    <t>sglb</t>
  </si>
  <si>
    <t>Fitz on Twitter: "$gsmg bought/bidding some down here, very low risk NFT https://t.co/aKUZvIefdw" / Twitter</t>
  </si>
  <si>
    <t>gsmg</t>
  </si>
  <si>
    <t>Entertainment</t>
  </si>
  <si>
    <t>Fitz on Twitter: "$azrx taking lotto over the weekend, gap above https://t.co/CFVIXklHH1" / Twitter</t>
  </si>
  <si>
    <t>azrx</t>
  </si>
  <si>
    <t>@beach_trades</t>
  </si>
  <si>
    <t>Fitz on Twitter: "in $coms ... was on watch now got upgraded to a buy 🤓" / Twitter</t>
  </si>
  <si>
    <t>coms</t>
  </si>
  <si>
    <t>Telecom Services</t>
  </si>
  <si>
    <t>Previously OBLN</t>
  </si>
  <si>
    <t>Fitz on Twitter: "in $rsls 5.08 on this gap fill, it also has two gaps above https://t.co/qrDY3hvDa2" / Twitter</t>
  </si>
  <si>
    <t>rsls</t>
  </si>
  <si>
    <t>Medical Devices</t>
  </si>
  <si>
    <t>Fitz on Twitter: "$bioc in some low 4.30s - late tweet if like it please BID Triple bottom https://t.co/XfPLjSgOBz" / Twitter</t>
  </si>
  <si>
    <t>bioc</t>
  </si>
  <si>
    <t>Fitz on Twitter: "$aacg china edu buy list https://t.co/m4eXO9KezO" / Twitter</t>
  </si>
  <si>
    <t>aacg</t>
  </si>
  <si>
    <t>Fitz on Twitter: "$kxin weekly chart merger play a low risk buy imo https://t.co/Wbhg60Vqhv" / Twitter</t>
  </si>
  <si>
    <t>kxin</t>
  </si>
  <si>
    <t>Auto &amp; Truck Dealerships</t>
  </si>
  <si>
    <t>Fitz on Twitter: "$ssy graduated from the watchlist to buy list low floater https://t.co/bdfcWLZpGY" / Twitter</t>
  </si>
  <si>
    <t>ssy</t>
  </si>
  <si>
    <t>Medical Care Facilities</t>
  </si>
  <si>
    <t>(2) Fitz on Twitter: "$phun added some mid 1.4's but it's already moving, might avg up if need be @cardinal6000 same legend who called $mrin and $xela recently https://t.co/PGHbuiBWFa" / Twitter</t>
  </si>
  <si>
    <t>phun</t>
  </si>
  <si>
    <t>Fitz on Twitter: "$jzxn long on these premarket frontloads 8.19 https://t.co/biPH9FetwF" / Twitter</t>
  </si>
  <si>
    <t>jzxn</t>
  </si>
  <si>
    <t>Fitz on Twitter: "$xela took some 1.48 and 1.5s" / Twitter</t>
  </si>
  <si>
    <t>xela</t>
  </si>
  <si>
    <t>Fitz on Twitter: "$usei daily Pink current https://t.co/BcMaopRlLM" / Twitter</t>
  </si>
  <si>
    <t>usei</t>
  </si>
  <si>
    <t>Fitz on Twitter: "$ikt took a starter 3.01 will add dips. Two gaps ThinkEquity play like $goed https://t.co/e7VSa2phBO" / Twitter</t>
  </si>
  <si>
    <t>ikt</t>
  </si>
  <si>
    <t>Fitz on Twitter: "$meds in long" / Twitter</t>
  </si>
  <si>
    <t>meds</t>
  </si>
  <si>
    <t>Wholesale Trade</t>
  </si>
  <si>
    <t>Pharmaceutical Retailers</t>
  </si>
  <si>
    <t>Fitz on Twitter: "$dyai 3.48 adds https://t.co/xj0k4sqgKp" / Twitter</t>
  </si>
  <si>
    <t>dyai</t>
  </si>
  <si>
    <t>Fitz on Twitter: "$admp added 1.11 but got lucky it's already moving virus play https://t.co/h4dzkh0Bow" / Twitter</t>
  </si>
  <si>
    <t>admp</t>
  </si>
  <si>
    <t>Drug Manufacturers - Specialty &amp; Generic</t>
  </si>
  <si>
    <t>Fitz on Twitter: "$strr very interesting will add long on dips https://t.co/k85alt9Zlj" / Twitter</t>
  </si>
  <si>
    <t>strr</t>
  </si>
  <si>
    <t>Fitz on Twitter: "$snmp 0.76 ish added near close, merger play only just now getting found https://t.co/7G6b1BROuz https://t.co/dkQ98Pz9GY" / Twitter</t>
  </si>
  <si>
    <t>snmp</t>
  </si>
  <si>
    <t>Fitz on Twitter: "$bkyi taking some 4.05 above all SMAs https://t.co/XhsAqkKJoq" / Twitter</t>
  </si>
  <si>
    <t>bkyi</t>
  </si>
  <si>
    <t>Security &amp; Protection Services</t>
  </si>
  <si>
    <t>Fitz on Twitter: "$aht 20ma bounce. I'm long finally. #bluebox https://t.co/8ZicC3ZMsC" / Twitter</t>
  </si>
  <si>
    <t>aht</t>
  </si>
  <si>
    <t>Finance and Insurance</t>
  </si>
  <si>
    <t>REIT - Hotel &amp; Motel</t>
  </si>
  <si>
    <t>Fitz on Twitter: "$pali adds under 4.2 Trying this based on chart https://t.co/c1GXeCGCfG" / Twitter</t>
  </si>
  <si>
    <t>pali</t>
  </si>
  <si>
    <t>Fitz on Twitter: "$mtc had frontloads and sales up big https://t.co/RsNSxGDpr7" / Twitter</t>
  </si>
  <si>
    <t>mtc</t>
  </si>
  <si>
    <t>Fitz on Twitter: "$huiz ready https://t.co/RR3w531mPf" / Twitter</t>
  </si>
  <si>
    <t>huiz</t>
  </si>
  <si>
    <t>Insurance Brokers</t>
  </si>
  <si>
    <t>Fitz on Twitter: "$taop bounce coming https://t.co/CPfGzYissU" / Twitter</t>
  </si>
  <si>
    <t>taop</t>
  </si>
  <si>
    <t>Software - Infrastructure</t>
  </si>
  <si>
    <t>Fitz on Twitter: "$ptpi good for a swing in the channel, unsure about long term gains https://t.co/GhY5i9IFQT" / Twitter</t>
  </si>
  <si>
    <t>ptpi</t>
  </si>
  <si>
    <t>Fitz on Twitter: "$jt will pull an $aht as long as no more bad news comes https://t.co/ovj3ByxJAc" / Twitter</t>
  </si>
  <si>
    <t>jt</t>
  </si>
  <si>
    <t>Credit Services</t>
  </si>
  <si>
    <t>Fitz on Twitter: "$cleu china edu https://t.co/htcWXPSpQi" / Twitter</t>
  </si>
  <si>
    <t>cleu</t>
  </si>
  <si>
    <t>Fitz on Twitter: "$artl ready https://t.co/zuQRUkPgDy" / Twitter</t>
  </si>
  <si>
    <t>artl</t>
  </si>
  <si>
    <t>Fitz on Twitter: "$airi ready windmill components https://t.co/CStlJp3mF3" / Twitter</t>
  </si>
  <si>
    <t>airi</t>
  </si>
  <si>
    <t>Aerospace &amp; Defense</t>
  </si>
  <si>
    <t>Fitz on Twitter: "$tmbr NOT a bearish rising wedge needs two closes above 200ma https://t.co/u7TwZul4U5" / Twitter</t>
  </si>
  <si>
    <t>tmbr</t>
  </si>
  <si>
    <t>Fitz on Twitter: "$pme ready https://t.co/VwRasM3Z9b" / Twitter</t>
  </si>
  <si>
    <t>pme</t>
  </si>
  <si>
    <t>Agriculture, Forestry, Fishing and Hunting</t>
  </si>
  <si>
    <t>risky</t>
  </si>
  <si>
    <t>Fitz on Twitter: "$wnw possibly ready, riskier play https://t.co/JkpuqvsNvD" / Twitter</t>
  </si>
  <si>
    <t>wnw</t>
  </si>
  <si>
    <t>Restaurants</t>
  </si>
  <si>
    <t>Fitz on Twitter: "$ghsi post r/s. Adds long https://t.co/2RDjEzUzQG" / Twitter</t>
  </si>
  <si>
    <t>ghsi</t>
  </si>
  <si>
    <t>Fitz on Twitter: "$mlss new swing https://t.co/IV9BRs5zPK" / Twitter</t>
  </si>
  <si>
    <t>mlss</t>
  </si>
  <si>
    <t>Medical Instruments &amp; Supplies</t>
  </si>
  <si>
    <t>Fitz on Twitter: "$prog added some at close... volume should remove all these sellers then we go up. Just had a priv. placement https://t.co/dSNSLZ3dmA" / Twitter</t>
  </si>
  <si>
    <t>prog</t>
  </si>
  <si>
    <t>Fitz on Twitter: "$eng infrastructure. Long https://t.co/e6Qz9PEzgW" / Twitter</t>
  </si>
  <si>
    <t>Fitz on Twitter: "$dare curling up, bio https://t.co/AqJLLkpJ2H" / Twitter</t>
  </si>
  <si>
    <t>dare</t>
  </si>
  <si>
    <t>Fitz on Twitter: "$reto added 1.14 &amp;amp; 1.12" / Twitter</t>
  </si>
  <si>
    <t>reto</t>
  </si>
  <si>
    <t>Building Materials</t>
  </si>
  <si>
    <t>Fitz on Twitter: "#aehl weekly chart Inflationary assets, china https://t.co/tKXKuyh3Wz" / Twitter</t>
  </si>
  <si>
    <t>aehl</t>
  </si>
  <si>
    <t>Building Products &amp; Equipment</t>
  </si>
  <si>
    <t>Fitz on Twitter: "$jan added for when AMC sees 200" / Twitter</t>
  </si>
  <si>
    <t>jan</t>
  </si>
  <si>
    <t>Waste Management</t>
  </si>
  <si>
    <t>Fitz on Twitter: "$nuro another easy one https://t.co/KBe5Islnk3" / Twitter</t>
  </si>
  <si>
    <t>nuro</t>
  </si>
  <si>
    <t>Fitz on Twitter: "$vino get in with the whales!!! Real estate https://t.co/EKGKE9xbs5" / Twitter</t>
  </si>
  <si>
    <t>vino</t>
  </si>
  <si>
    <t>(1) Fitz on Twitter: "$hgsh china real estate https://t.co/lIXvMcR8yx" / Twitter</t>
  </si>
  <si>
    <t>hgsh</t>
  </si>
  <si>
    <t>Real Estate - Development</t>
  </si>
  <si>
    <t>Fitz on Twitter: "$cgrn Curl https://t.co/8PFiW4wsj3" / Twitter</t>
  </si>
  <si>
    <t>cgrn</t>
  </si>
  <si>
    <t>Specialty Industrial Machinery</t>
  </si>
  <si>
    <t>Fitz on Twitter: "$trib CUP #bluebox https://t.co/zQm8pUTKrp" / Twitter</t>
  </si>
  <si>
    <t>trib</t>
  </si>
  <si>
    <t>Ireland</t>
  </si>
  <si>
    <t>Fitz on Twitter: "$aese Head n shoulders https://t.co/aqpYBwmrlG" / Twitter</t>
  </si>
  <si>
    <t>aese</t>
  </si>
  <si>
    <t>Arts, Entertainment, and Recreation</t>
  </si>
  <si>
    <t>(1) Fitz on Twitter: "$cthr JEWELRY + INFLATION = ??? https://t.co/TFxdFIVT8p https://t.co/DO2D1FBB6X" / Twitter</t>
  </si>
  <si>
    <t>cthr</t>
  </si>
  <si>
    <t>Luxury Goods</t>
  </si>
  <si>
    <t>Fitz on Twitter: "$amc I bought https://t.co/uoodVUiPmu" / Twitter</t>
  </si>
  <si>
    <t>amc</t>
  </si>
  <si>
    <t>Fitz on Twitter: "Buying $BTX chart play Downside is very limited, upside is not https://t.co/s3ZR5wBx80" / Twitter</t>
  </si>
  <si>
    <t>btx</t>
  </si>
  <si>
    <t>Fitz on Twitter: "$nspr I got lucky and added pre-market but this price is still amazing r/r. Great chart at floor, and post r/s https://t.co/HG1oAymTlO" / Twitter</t>
  </si>
  <si>
    <t>nspr</t>
  </si>
  <si>
    <t>Fitz on Twitter: "$AMPG cup forming and curling, taking an overnighter https://t.co/V9iToPr4ne" / Twitter</t>
  </si>
  <si>
    <t>ampg</t>
  </si>
  <si>
    <t>hit 9.44 ahs</t>
  </si>
  <si>
    <t>(1) Fitz on Twitter: "$ocgn added some 7.32 on 100ma. Panic sold, FDA news was clearly not read correctly" / Twitter</t>
  </si>
  <si>
    <t>ocgn</t>
  </si>
  <si>
    <t>Fitz on Twitter: "$RETC strong bids on 0.0011 I slapped 0.0012 because fees are annoying. TWO GAPS https://t.co/eY0mMhQmFJ" / Twitter</t>
  </si>
  <si>
    <t>retc</t>
  </si>
  <si>
    <t>Fitz on Twitter: "$TBEV added 0009 and bidding 0008, good r/r. Same CEO as $PDGO I believe This CEO knows charts obviously https://t.co/Gw690pzEZs" / Twitter</t>
  </si>
  <si>
    <t>tbev</t>
  </si>
  <si>
    <t>Fitz on Twitter: "$EFIR this chart is AMAZING https://t.co/mDaVNgreBF" / Twitter</t>
  </si>
  <si>
    <t>efir</t>
  </si>
  <si>
    <t>(1) Fitz on Twitter: "$AHFD I filled 0.0006 earlier, I think 0.0007 is still safe Great setup https://t.co/1YbFstILMi" / Twitter</t>
  </si>
  <si>
    <t>ahfd</t>
  </si>
  <si>
    <t>Fitz on Twitter: "$LODE log scale, MA's tightening and price is sitting right at 100ma. LODE also had some unusual buy blocks today. https://t.co/DeQtE57LVb" / Twitter</t>
  </si>
  <si>
    <t>lode</t>
  </si>
  <si>
    <t>Real Estate Services</t>
  </si>
  <si>
    <t>Fitz on Twitter: "$MTVX 0.0007 is your entry got pumped or loaded on 5/13 https://t.co/YQCjvChRUc" / Twitter</t>
  </si>
  <si>
    <t>mtvx</t>
  </si>
  <si>
    <t>Fitz on Twitter: "$SDVI 0.0007 and 0.0006 bids, uptrend should pop this one https://t.co/6At1AnPX6x" / Twitter</t>
  </si>
  <si>
    <t>sdvi</t>
  </si>
  <si>
    <t>Fitz on Twitter: "$MLHC bids on 100sma uptrend https://t.co/ZuV0XBJUbA" / Twitter</t>
  </si>
  <si>
    <t>mlhc</t>
  </si>
  <si>
    <t>Fitz on Twitter: "$NOHO large bidders at support... who wins? https://t.co/oE7E9PXZYM" / Twitter</t>
  </si>
  <si>
    <t>noho</t>
  </si>
  <si>
    <t>Fitz on Twitter: "$APPZ another great low-risk-high-reward setup with bid support like $NOHO https://t.co/R0llqGVCag" / Twitter</t>
  </si>
  <si>
    <t>appz</t>
  </si>
  <si>
    <t>Fitz on Twitter: "$xreg accumulation here on the trend https://t.co/MKYHZ8SUYZ" / Twitter</t>
  </si>
  <si>
    <t>xreg</t>
  </si>
  <si>
    <t>Fitz on Twitter: "$BSSP I missed this one. 0.0012 and 0.0013 great add spots https://t.co/thmM8DtcDL" / Twitter</t>
  </si>
  <si>
    <t>bssp</t>
  </si>
  <si>
    <t>Fitz on Twitter: "$CFGX very nice https://t.co/osBpJkseIw" / Twitter</t>
  </si>
  <si>
    <t>cfgx</t>
  </si>
  <si>
    <t>Fitz on Twitter: "$DUTV possible cup forming, entry is 0.0023 - 0.0025 stop below that https://t.co/Waat9Anuad" / Twitter</t>
  </si>
  <si>
    <t>dutv</t>
  </si>
  <si>
    <t>Fitz on Twitter: "$CHNC Biden special. Use 200MA as entry point. https://t.co/aC3R1rorpi" / Twitter</t>
  </si>
  <si>
    <t>chnc</t>
  </si>
  <si>
    <t>Fitz on Twitter: "$TWOH unusual volume &amp;amp; daily chart MAs are tightening https://t.co/UxLIkRDbw4" / Twitter</t>
  </si>
  <si>
    <t>twoh</t>
  </si>
  <si>
    <t>Bearish BULL on Twitter: "$CARV only 500k float here" / Twitter</t>
  </si>
  <si>
    <t>carv</t>
  </si>
  <si>
    <t>Banks - Regional</t>
  </si>
  <si>
    <t>Fitz on Twitter: "$PBTS frontload alert 🤓 https://t.co/sUtlubz6CB" / Twitter</t>
  </si>
  <si>
    <t>pbts</t>
  </si>
  <si>
    <t>Fitz on Twitter: "$RCAT easy https://t.co/V5dm1LU8rh" / Twitter</t>
  </si>
  <si>
    <t>rcat</t>
  </si>
  <si>
    <t>Fitz on Twitter: "$ASYS semiconductors https://t.co/m2urDxQz2l" / Twitter</t>
  </si>
  <si>
    <t>asys</t>
  </si>
  <si>
    <t>Semiconductor Equipment &amp; Materials</t>
  </si>
  <si>
    <t>Fitz on Twitter: "$JFIN https://t.co/tR4EdQudGv" / Twitter</t>
  </si>
  <si>
    <t>jfin</t>
  </si>
  <si>
    <t>Internet Content &amp; Information</t>
  </si>
  <si>
    <t>Fitz on Twitter: "$GRPS https://t.co/ccIExx6xb8" / Twitter</t>
  </si>
  <si>
    <t>grps</t>
  </si>
  <si>
    <t>Fitz on Twitter: "$GDET https://t.co/mW0S3efgub" / Twitter</t>
  </si>
  <si>
    <t>gdet</t>
  </si>
  <si>
    <t>Fitz on Twitter: "$GRSO 0.0012 is your entry https://t.co/s5SLpwhgfS" / Twitter</t>
  </si>
  <si>
    <t>grso</t>
  </si>
  <si>
    <t>Fitz on Twitter: "$SNRY https://t.co/KZlWgxSnsx" / Twitter</t>
  </si>
  <si>
    <t>snry</t>
  </si>
  <si>
    <t>Fitz on Twitter: "$APOP https://t.co/Ik1eZiyyWG" / Twitter</t>
  </si>
  <si>
    <t>apop</t>
  </si>
  <si>
    <t>Fitz on Twitter: "$AUTO triangles https://t.co/ZhUz4h2eH2" / Twitter</t>
  </si>
  <si>
    <t>auto</t>
  </si>
  <si>
    <t>Fitz on Twitter: "$CAAS https://t.co/10wEaKZYI6" / Twitter</t>
  </si>
  <si>
    <t>caas</t>
  </si>
  <si>
    <t>Fitz on Twitter: "$EDAP offering closed &amp;amp; gap https://t.co/JOV0J4KJ4E" / Twitter</t>
  </si>
  <si>
    <t>edap</t>
  </si>
  <si>
    <t>France</t>
  </si>
  <si>
    <t>Fitz on Twitter: "$DXYN https://t.co/Mofd4YbO1Z" / Twitter</t>
  </si>
  <si>
    <t>dxyn</t>
  </si>
  <si>
    <t>Textile Manufacturing</t>
  </si>
  <si>
    <t>Fitz on Twitter: "$evus https://t.co/kkinX57fN6" / Twitter</t>
  </si>
  <si>
    <t>evus</t>
  </si>
  <si>
    <t>Fitz on Twitter: "$BLPH ok that's real nice https://t.co/XZiq7NlGV5" / Twitter</t>
  </si>
  <si>
    <t>blph</t>
  </si>
  <si>
    <t>Fitz on Twitter: "$ocup https://t.co/EPoUR3F8AU" / Twitter</t>
  </si>
  <si>
    <t>ocup</t>
  </si>
  <si>
    <t>Fitz on Twitter: "$SNES let's see how big money likes penny stocks in the summer https://t.co/4b4tnhIPeh" / Twitter</t>
  </si>
  <si>
    <t>snes</t>
  </si>
  <si>
    <t>Specialty Chemicals</t>
  </si>
  <si>
    <t>Fitz on Twitter: "$GHSI going back to 1.95" / Twitter</t>
  </si>
  <si>
    <t>Fitz on Twitter: "$EVFM HCW bought deal. We all know they'll take it back above $1 in time." / Twitter</t>
  </si>
  <si>
    <t>evfm</t>
  </si>
  <si>
    <t>Fitz on Twitter: "$BYOC 200 sma bounce" / Twitter</t>
  </si>
  <si>
    <t>byoc</t>
  </si>
  <si>
    <t>Fitz on Twitter: "$ADGO easy https://t.co/kKajaNVoNu" / Twitter</t>
  </si>
  <si>
    <t>adgo</t>
  </si>
  <si>
    <t>Fitz on Twitter: "$BLUU https://t.co/RNRJMfRd4p" / Twitter</t>
  </si>
  <si>
    <t>bluu</t>
  </si>
  <si>
    <t>Fitz on Twitter: "$HPNN https://t.co/1g4alTCidK" / Twitter</t>
  </si>
  <si>
    <t>hpnn</t>
  </si>
  <si>
    <t>Fitz on Twitter: "$MYT nice chart @cardinal6000 https://t.co/LsaRXPotLT" / Twitter</t>
  </si>
  <si>
    <t>myt</t>
  </si>
  <si>
    <t>Fitz on Twitter: "$CNC now that's a bull flag https://t.co/73y0LcEjTL" / Twitter</t>
  </si>
  <si>
    <t>cnc</t>
  </si>
  <si>
    <t>Healthcare Plans</t>
  </si>
  <si>
    <t>Fitz on Twitter: "$BONZ $BRGO $STHC $BLXX gold stocks for inflation. I would wait for BRGO to cool down, seems like it wants to knife" / Twitter</t>
  </si>
  <si>
    <t>bonz</t>
  </si>
  <si>
    <t>sthc</t>
  </si>
  <si>
    <t>blxx</t>
  </si>
  <si>
    <t>Fitz on Twitter: "$SDVI watch the volume if 0.001 breaks" / Twitter</t>
  </si>
  <si>
    <t>Fitz on Twitter: "Looks just like $NCTY a while back, and this one's a Biden special" / Twitter</t>
  </si>
  <si>
    <t>job</t>
  </si>
  <si>
    <t>Fitz on Twitter: "$RETC watch here, gap to fill https://t.co/fB7mUiBP1u" / Twitter</t>
  </si>
  <si>
    <t>Fitz on Twitter: "$YVR 200sma bounce ww" / Twitter</t>
  </si>
  <si>
    <t>yvr</t>
  </si>
  <si>
    <t>Fitz on Twitter: "$METX ww bidders" / Twitter</t>
  </si>
  <si>
    <t>metx</t>
  </si>
  <si>
    <t>Fitz on Twitter: "$EBON doge miner / ASIC crypto miner https://t.co/gRm962G334" / Twitter</t>
  </si>
  <si>
    <t>ebon</t>
  </si>
  <si>
    <t>Computer Hardware</t>
  </si>
  <si>
    <t>Fitz on Twitter: "$HCDI entered today w/ starter. Texas is growing rapidly." / Twitter</t>
  </si>
  <si>
    <t>hcdi</t>
  </si>
  <si>
    <t>Fitz on Twitter: "$YGMZ threw in some eod lotto bids" / Twitter</t>
  </si>
  <si>
    <t>ygmz</t>
  </si>
  <si>
    <t>Transportation and Warehousing</t>
  </si>
  <si>
    <t>Trucking</t>
  </si>
  <si>
    <t>Fitz on Twitter: "$DATI is $0.15 $MARA used to be $0.35 D A T I" / Twitter</t>
  </si>
  <si>
    <t>dati</t>
  </si>
  <si>
    <t>Fitz on Twitter: "$GRIL loaded today" / Twitter</t>
  </si>
  <si>
    <t>gril</t>
  </si>
  <si>
    <t>Accommodation and Food Services</t>
  </si>
  <si>
    <t>Fitz on Twitter: "$ASTC scaling in longs for gap fill" / Twitter</t>
  </si>
  <si>
    <t>astc</t>
  </si>
  <si>
    <t>Fitz on Twitter: "$AIKI this stock has THREE gaps above... they will fill eventually" / Twitter</t>
  </si>
  <si>
    <t>aiki</t>
  </si>
  <si>
    <t>Fitz on Twitter: "$TC China auto low float Long lotto https://t.co/gbzim8psHz" / Twitter</t>
  </si>
  <si>
    <t>tc</t>
  </si>
  <si>
    <t>Fitz on Twitter: "$PHCF next TKAT same chart No PR in a while https://t.co/b3mMdMvW4f" / Twitter</t>
  </si>
  <si>
    <t>phcf</t>
  </si>
  <si>
    <t>Asset Management</t>
  </si>
  <si>
    <t>Fitz on Twitter: "$HX long china credit pump coming https://t.co/ghh02TcwUh" / Twitter</t>
  </si>
  <si>
    <t>hx</t>
  </si>
  <si>
    <t>Fitz on Twitter: "$BHTG they are finally finding it. I think the real run starts soon." / Twitter</t>
  </si>
  <si>
    <t>bhtg</t>
  </si>
  <si>
    <t>Administrative and Support and Waste Management and Remediation Services</t>
  </si>
  <si>
    <t>Pollution &amp; Treatment Controls</t>
  </si>
  <si>
    <t>Fitz on Twitter: "$IFMK chart possibilities. Looking for a long on this spike. https://t.co/x3LYKFx6NB" / Twitter</t>
  </si>
  <si>
    <t>ifmk</t>
  </si>
  <si>
    <t>Grocery Stores</t>
  </si>
  <si>
    <t>(1) Fitz on Twitter: "3/29/21 Weekly Watchlist #10 https://t.co/vet6BgXnDv $METX, $AMBO, $TEDU, $LMFA, $UK, $BKYI, $NUZE, $PETZ, $CJJD, $PIXY, $MRIN, $NNA China, edu, value $NNA is a Suez Canal play with a great chart" / Twitter</t>
  </si>
  <si>
    <t>ambo</t>
  </si>
  <si>
    <t>lmfa</t>
  </si>
  <si>
    <t>pixy</t>
  </si>
  <si>
    <t>mrin</t>
  </si>
  <si>
    <t>petz</t>
  </si>
  <si>
    <t>Packaged Foods</t>
  </si>
  <si>
    <t>nna</t>
  </si>
  <si>
    <t>Cayman Islands</t>
  </si>
  <si>
    <t>nuze</t>
  </si>
  <si>
    <t>cjjd</t>
  </si>
  <si>
    <t>tedu</t>
  </si>
  <si>
    <t>uk</t>
  </si>
  <si>
    <t>Fitz on Twitter: "$AUTO LONG https://t.co/PXyItQEYXH" / Twitter</t>
  </si>
  <si>
    <t>Fitz on Twitter: "$ASTC 3.25 HCW offering see ya https://t.co/PJmFFFZBQ1" / Twitter</t>
  </si>
  <si>
    <t>(1) Fitz on Twitter: "3/22/21 Weekly Watchlist #9 https://t.co/DEYGSFVKwm $AIKI $CYRN $SXTC $TLGT $AEHL $PLIN $CHNR $CRBP $ABIO All winners" / Twitter</t>
  </si>
  <si>
    <t>sxtc</t>
  </si>
  <si>
    <t>chnr</t>
  </si>
  <si>
    <t>Other Industrial Metals &amp; Mining</t>
  </si>
  <si>
    <t>abio</t>
  </si>
  <si>
    <t>plin</t>
  </si>
  <si>
    <t>cyrn</t>
  </si>
  <si>
    <t>tlgt</t>
  </si>
  <si>
    <t>crbp</t>
  </si>
  <si>
    <t>post r/s pt1=4 @cardinal6000</t>
  </si>
  <si>
    <t>Fitz on Twitter: "$GHSI tomorrow https://t.co/ZvHSZZEQkO" / Twitter</t>
  </si>
  <si>
    <t>pt1=1.35</t>
  </si>
  <si>
    <t>outside call</t>
  </si>
  <si>
    <t>cscw</t>
  </si>
  <si>
    <t>mict</t>
  </si>
  <si>
    <t>acy</t>
  </si>
  <si>
    <t>Real Estate and Rental and Leasing</t>
  </si>
  <si>
    <t>Rental &amp; Leasing Services</t>
  </si>
  <si>
    <t>Fitz on Twitter: "$MDLY long here. Post R/S and significant insider ownership (66%) https://t.co/mRSNLKWQLs" / Twitter</t>
  </si>
  <si>
    <t>mdly</t>
  </si>
  <si>
    <t>$15 in cash, buyout @cardinal6000</t>
  </si>
  <si>
    <t>ophc</t>
  </si>
  <si>
    <t>koss</t>
  </si>
  <si>
    <t>Consumer Electronics</t>
  </si>
  <si>
    <t>@cardinal6000 technically his second</t>
  </si>
  <si>
    <t>Fitz on Twitter: "$OBLN cup coming https://t.co/uOkD3Ezkpg" / Twitter</t>
  </si>
  <si>
    <t>obln</t>
  </si>
  <si>
    <t>Fitz on Twitter: "$ZCMD $BIMI next china runners... all chinas run big https://t.co/iXv8yHUnUZ" / Twitter</t>
  </si>
  <si>
    <t>zcmd</t>
  </si>
  <si>
    <t>Health Information Services</t>
  </si>
  <si>
    <t>bimi</t>
  </si>
  <si>
    <t>Fitz on Twitter: "$PVL that's why you're called dumb money by the smart money $$$$$$$$$$$ https://t.co/LZPM7aLxsD" / Twitter</t>
  </si>
  <si>
    <t>pvl</t>
  </si>
  <si>
    <t>Oil &amp; Gas E&amp;P</t>
  </si>
  <si>
    <t>(1) Fitz on Twitter: "2/16/21 Weekly Watchlist #8 https://t.co/FazDZiyBuC $HUSA $BDR $PLIN $EDTK $LYL $LGHL $TGC $MDRR" / Twitter</t>
  </si>
  <si>
    <t>lyl</t>
  </si>
  <si>
    <t>edtk</t>
  </si>
  <si>
    <t>@radiosilentplay</t>
  </si>
  <si>
    <t>husa</t>
  </si>
  <si>
    <t>Fitz on Twitter: "My current OTC watchlist $SIML $SAML $VSYM $TWOH $GCGX $SKDI $ARYC $BRGO $VCBD $ARSN $TCHC My favorites are $SAML $GCGX $SKDI $BRGO I am in $HPMM $ATDS $RNVA $SSOK $BRZL $SDEC" / Twitter</t>
  </si>
  <si>
    <t>siml</t>
  </si>
  <si>
    <t>they had an r/s lol</t>
  </si>
  <si>
    <t>saml</t>
  </si>
  <si>
    <t>y</t>
  </si>
  <si>
    <t>vsym</t>
  </si>
  <si>
    <t>had an r/s</t>
  </si>
  <si>
    <t>gcgx</t>
  </si>
  <si>
    <t>skdi</t>
  </si>
  <si>
    <t>aryc</t>
  </si>
  <si>
    <t>brgo</t>
  </si>
  <si>
    <t>vcbd</t>
  </si>
  <si>
    <t>arsn</t>
  </si>
  <si>
    <t>tchc</t>
  </si>
  <si>
    <t>@cardinal6000 had it earlier actually</t>
  </si>
  <si>
    <t>ssok</t>
  </si>
  <si>
    <t>Fitz on Twitter: "2/7/21 Weekly Watchlist #7 https://t.co/uKw98oc47r $ENVB $TTNP $QLGN $TANH $CHNR $PT $LGHL $ZCMD $JT $SGOC $AIRI $HGSH" / Twitter</t>
  </si>
  <si>
    <t>ttnp</t>
  </si>
  <si>
    <t>envb</t>
  </si>
  <si>
    <t>lghl</t>
  </si>
  <si>
    <t>qlgn</t>
  </si>
  <si>
    <t>pt</t>
  </si>
  <si>
    <t>tanh</t>
  </si>
  <si>
    <t>Household &amp; Personal Products</t>
  </si>
  <si>
    <t>sgoc</t>
  </si>
  <si>
    <t>Fitz on Twitter: "Beijing Biden ruins $SPY thus ruining penny stock charts OTC $BRZL $HPMM $RNVA $ATDS $SDEC" / Twitter</t>
  </si>
  <si>
    <t>brzl</t>
  </si>
  <si>
    <t>@47_Trades</t>
  </si>
  <si>
    <t>Fitz on Twitter: "$SIEB $PT" / Twitter</t>
  </si>
  <si>
    <t>sieb</t>
  </si>
  <si>
    <t>wter</t>
  </si>
  <si>
    <t>Beverages - Non-Alcoholic</t>
  </si>
  <si>
    <t>Fitz on Twitter: "Buying OTC with @cardinal6000 $HPMM and $BRLL I will turn $2k (each) into $20k (each) within 5 months watch it happen I just learned low THC hemp is federally legal" / Twitter</t>
  </si>
  <si>
    <t>hpmm</t>
  </si>
  <si>
    <t>brll</t>
  </si>
  <si>
    <t>Fitz on Twitter: "1/24/21 Weekly Watchlist #6 All winners just like the previous lists $GLBS $HCDI $GBR $BHTG $TMBR $THMO $SDPI $WRAP $CNSP $HX $SPRT https://t.co/ReByWKYmXG" / Twitter</t>
  </si>
  <si>
    <t>gbr</t>
  </si>
  <si>
    <t>thmo</t>
  </si>
  <si>
    <t>worst stock ever LOL @cardinal6000</t>
  </si>
  <si>
    <t>glbs</t>
  </si>
  <si>
    <t>Greece</t>
  </si>
  <si>
    <t>Marine Shipping</t>
  </si>
  <si>
    <t>sdpi</t>
  </si>
  <si>
    <t>Oil &amp; Gas Equipment &amp; Services</t>
  </si>
  <si>
    <t>sprt</t>
  </si>
  <si>
    <t>cnsp</t>
  </si>
  <si>
    <t>wrap</t>
  </si>
  <si>
    <t>Scientific &amp; Technical Instruments</t>
  </si>
  <si>
    <t>Fitz on Twitter: "1/17/21 Weekly watchlist #5 12 theme-based, low risk high reward stocks for the next two weeks. Assume they are swing trades. https://t.co/Bx9KbS65eK" / Twitter</t>
  </si>
  <si>
    <t>tomz</t>
  </si>
  <si>
    <t>@edrexx09</t>
  </si>
  <si>
    <t>mito</t>
  </si>
  <si>
    <t>ccrc</t>
  </si>
  <si>
    <t>@cardinal6000 @edrexx09</t>
  </si>
  <si>
    <t>mdrr</t>
  </si>
  <si>
    <t>REIT - Diversified</t>
  </si>
  <si>
    <t>rave</t>
  </si>
  <si>
    <t>arpo</t>
  </si>
  <si>
    <t>optt</t>
  </si>
  <si>
    <t>Fitz on Twitter: "1/10/2021 Weekly watchlist #4 ⏲️⏳ All winners soon 🤑 https://t.co/D9oLcx2DIg" / Twitter</t>
  </si>
  <si>
    <t>jrjc</t>
  </si>
  <si>
    <t>ctib</t>
  </si>
  <si>
    <t>dlpn</t>
  </si>
  <si>
    <t>dtss</t>
  </si>
  <si>
    <t>sonn</t>
  </si>
  <si>
    <t>cphi</t>
  </si>
  <si>
    <t>Fitz on Twitter: "$USWS Biden's not banning fracking any time soon... especially not clean fracking! ⏰ Time for another clean energy runner! https://t.co/cc45WBw2hT https://t.co/jnXkcpmM98" / Twitter</t>
  </si>
  <si>
    <t>uswsw</t>
  </si>
  <si>
    <t>Fitz on Twitter: "1/04/2021 Weekly watchlist #3 https://t.co/tR8sdU4noB" / Twitter</t>
  </si>
  <si>
    <t>mdia</t>
  </si>
  <si>
    <t>Broadcasting</t>
  </si>
  <si>
    <t>worx</t>
  </si>
  <si>
    <t>vive</t>
  </si>
  <si>
    <t>gene</t>
  </si>
  <si>
    <t>Australia</t>
  </si>
  <si>
    <t>atnf</t>
  </si>
  <si>
    <t>aytu</t>
  </si>
  <si>
    <t>ccnc</t>
  </si>
  <si>
    <t>Management of Companies and Enterprises</t>
  </si>
  <si>
    <t>Coking Coal</t>
  </si>
  <si>
    <t>nbrv</t>
  </si>
  <si>
    <t>hofv</t>
  </si>
  <si>
    <t>watt</t>
  </si>
  <si>
    <t>atds</t>
  </si>
  <si>
    <t>Fitz on Twitter: "12/28/20 watchlist #2 https://t.co/Q1gNEnr8Gu" / Twitter</t>
  </si>
  <si>
    <t>ampy</t>
  </si>
  <si>
    <t>dpw</t>
  </si>
  <si>
    <t>@cardinal6000 @speculatore</t>
  </si>
  <si>
    <t>reed</t>
  </si>
  <si>
    <t>Fitz on Twitter: "$ASTC chart &amp;amp; COVID play https://t.co/R9uJjE2Fwd https://t.co/eFTCFpD34s" / Twitter</t>
  </si>
  <si>
    <t>Fitz on Twitter: "12/21/20 Short-term Weekly Watchlist #1 (china, oil, clean energy) https://t.co/8zwSDS13Ix" / Twitter</t>
  </si>
  <si>
    <t>mfh</t>
  </si>
  <si>
    <t>ped</t>
  </si>
  <si>
    <t>amtx</t>
  </si>
  <si>
    <t>Oil &amp; Gas Refining &amp; Marketing</t>
  </si>
  <si>
    <t>cmcm</t>
  </si>
  <si>
    <t>wow.</t>
  </si>
  <si>
    <t>bngo</t>
  </si>
  <si>
    <t>@cardinal6000 legend</t>
  </si>
  <si>
    <t>tkat</t>
  </si>
  <si>
    <t>Fitz on Twitter: "TLSS &amp;amp; AMBO" / Twitter</t>
  </si>
  <si>
    <t>tlss</t>
  </si>
  <si>
    <t>name change from DRAD @cardinal6000</t>
  </si>
  <si>
    <t>Fitz on Twitter: "Holding AEY RCON DRAD and LTBR over the weekend" / Twitter</t>
  </si>
  <si>
    <t>i found this 9/30/20, not posted to twit</t>
  </si>
  <si>
    <t>rcon</t>
  </si>
  <si>
    <t>actually @cardinal6000 called this under 2.0</t>
  </si>
  <si>
    <t>aey</t>
  </si>
  <si>
    <t>Electronics &amp; Computer Distribution</t>
  </si>
  <si>
    <t>Fitz on Twitter: "$LTBR Politicians considering nuclear power... renewable energy https://t.co/gHoZ3Dp7xl &amp;amp; https://t.co/x5jj2fL87O https://t.co/3frEOFEEVb" / Twitter</t>
  </si>
  <si>
    <t>ltbr</t>
  </si>
  <si>
    <t>Fitz on Twitter: "$NCTY Perfectly sculpted chart looking for a squeeze here https://t.co/MBQQo53dec" / Twitter</t>
  </si>
  <si>
    <t>ncty</t>
  </si>
  <si>
    <t>Fitz on Twitter: "$ITP getting ready for a massive short cover above .93/.94" / Twitter</t>
  </si>
  <si>
    <t>itp</t>
  </si>
  <si>
    <t>Paper &amp; Paper Products</t>
  </si>
  <si>
    <t>Fitz on Twitter: "$CRTD closed an offering for $4.50 per share not too long ago and is currently trading under $3 after bouncing off all-time lows. Big gap to fill as well. https://t.co/chugLM7XhH" / Twitter</t>
  </si>
  <si>
    <t>crtd</t>
  </si>
  <si>
    <t>Fitz on Twitter: "$ETTX liking this double bottom low floater. Looking to open a starter with a tight stop tomorrow. https://t.co/LbUaTInZG1" / Twitter</t>
  </si>
  <si>
    <t>ettx</t>
  </si>
  <si>
    <t>Fitz on Twitter: "$SPCB chart and features remind me of $SGBX and $ASTC runs. Nice uptrend low floater with a decent amount of short percentage. https://t.co/nvvATDENYq" / Twitter</t>
  </si>
  <si>
    <t>spcb</t>
  </si>
  <si>
    <t>Fitz on Twitter: "$RETO looking to burn some shorts today above the 50SMA https://t.co/rQQNAcmGBj" / Twitter</t>
  </si>
  <si>
    <t>Fitz on Twitter: "$VISL rumor of large DoD contract circulating and their twitter is just teasing it. Even without news, this chart is primed. https://t.co/pSaNJjyDm4" / Twitter</t>
  </si>
  <si>
    <t>visl</t>
  </si>
  <si>
    <t>Fitz on Twitter: "$TRCH epic short squeeze on good news will be followed by some epic gap fills $ayro $visl $spaq $sunw $mara https://t.co/Dtn5x981N5" / Twitter</t>
  </si>
  <si>
    <t>trch</t>
  </si>
  <si>
    <t>Fitz on Twitter: "$SSNT if you missed the godlike $CHNR chart earlier: https://t.co/1t2WESxdeh" / Twitter</t>
  </si>
  <si>
    <t>ssnt</t>
  </si>
  <si>
    <t>Fitz on Twitter: "$AYRO https://t.co/Cwx0NzWk0C" / Twitter</t>
  </si>
  <si>
    <t>ayro</t>
  </si>
  <si>
    <t>Auto Manufacturers</t>
  </si>
  <si>
    <t>Fitz on Twitter: "$CHNR Will explode https://t.co/qmWAM61o5w" / Twitter</t>
  </si>
  <si>
    <t>Fitz on Twitter: "$SMLP is everyone blind? Didn't you see USEG MXC HUSA??" / Twitter</t>
  </si>
  <si>
    <t>smlp</t>
  </si>
  <si>
    <t>Fitz on Twitter: "1. XDSL 2. STHC 3. RNWF 4. AABB 5. HIPH 6. EPAZ 7. OPTI 8. TPTW" / Twitter</t>
  </si>
  <si>
    <t>xdsl</t>
  </si>
  <si>
    <t>rnwf</t>
  </si>
  <si>
    <t>WOW</t>
  </si>
  <si>
    <t>aabb</t>
  </si>
  <si>
    <t>hiph</t>
  </si>
  <si>
    <t>epaz</t>
  </si>
  <si>
    <t>opti</t>
  </si>
  <si>
    <t>tptw</t>
  </si>
  <si>
    <t>@radiosilentplay found this... https://twitter.com/RadioSilentplay/status/1315667556133490697</t>
  </si>
  <si>
    <t>https://twitter.com/RadioSilentplay/status/1315667556133490697</t>
  </si>
  <si>
    <t>atvk</t>
  </si>
  <si>
    <t>Not everything here is something I bought</t>
  </si>
  <si>
    <t>WATCHLIST PERFORMANCE</t>
  </si>
  <si>
    <t>Close watch</t>
  </si>
  <si>
    <t>Setting up</t>
  </si>
  <si>
    <t>Rel Vol?</t>
  </si>
  <si>
    <t>Backburner</t>
  </si>
  <si>
    <t>Scan</t>
  </si>
  <si>
    <t>Frontload Count</t>
  </si>
  <si>
    <t>Twitter Link</t>
  </si>
  <si>
    <t>Date Found</t>
  </si>
  <si>
    <t>Social Sentiment</t>
  </si>
  <si>
    <t>UnfilledGapAbove</t>
  </si>
  <si>
    <t>UnfilledGapBelow</t>
  </si>
  <si>
    <t>apdn</t>
  </si>
  <si>
    <t>whlm</t>
  </si>
  <si>
    <t>Specialty Business Services</t>
  </si>
  <si>
    <t>amwl</t>
  </si>
  <si>
    <t>abcl</t>
  </si>
  <si>
    <t>Fitz on Twitter: "$abcl nice looks AI-powered drug discovery platform searches and analyzes the database of natural immune systems to find antibodies that can be developed as drugs https://t.co/fie8UbJ28y" / Twitter</t>
  </si>
  <si>
    <t>Fitz on Twitter: "$tlsa WATCH https://t.co/38HxmWTPT3" / Twitter</t>
  </si>
  <si>
    <t>spce</t>
  </si>
  <si>
    <t>Fitz on Twitter: "$spce ohhhh maaaaaa go.......... Setup is here https://t.co/uMgusns60N" / Twitter</t>
  </si>
  <si>
    <t>gnln</t>
  </si>
  <si>
    <t>Fitz on Twitter: "$gnln that chart though https://t.co/5ATcrQh1rD" / Twitter</t>
  </si>
  <si>
    <t>lixt</t>
  </si>
  <si>
    <t>Fitz on Twitter: "$lixt loadsssss" / Twitter</t>
  </si>
  <si>
    <t>Fitz on Twitter: "$petz accumulation" / Twitter</t>
  </si>
  <si>
    <t>Fitz on Twitter: "$atif pumperooski coming" / Twitter</t>
  </si>
  <si>
    <t>dbgi</t>
  </si>
  <si>
    <t>Fitz on Twitter: "$dbgi has that look" / Twitter</t>
  </si>
  <si>
    <t>Apparel Retail</t>
  </si>
  <si>
    <t>Fitz on Twitter: "$ccnc should get pumped soon Crypto" / Twitter</t>
  </si>
  <si>
    <t>Fitz on Twitter: "$olb almost bottomed probably direct offering 4.3" / Twitter</t>
  </si>
  <si>
    <t xml:space="preserve">FRONTLOAD </t>
  </si>
  <si>
    <t>vvos</t>
  </si>
  <si>
    <t>Fitz on Twitter: "$vvos nice look https://t.co/kASPmAZBYf" / Twitter</t>
  </si>
  <si>
    <t>iht</t>
  </si>
  <si>
    <t>Fitz on Twitter: "$iht 200ma https://t.co/2OnBCMyKTh" / Twitter</t>
  </si>
  <si>
    <t>iinn</t>
  </si>
  <si>
    <t>mymd</t>
  </si>
  <si>
    <t>goed</t>
  </si>
  <si>
    <t>bnso</t>
  </si>
  <si>
    <t>abvc</t>
  </si>
  <si>
    <t>MACD Divergence</t>
  </si>
  <si>
    <t>glto</t>
  </si>
  <si>
    <t>Denmark</t>
  </si>
  <si>
    <t>BOTTOMFEEDER</t>
  </si>
  <si>
    <t>sol</t>
  </si>
  <si>
    <t>Solar</t>
  </si>
  <si>
    <t>btcm</t>
  </si>
  <si>
    <t>uone</t>
  </si>
  <si>
    <t>aljj</t>
  </si>
  <si>
    <t>izea</t>
  </si>
  <si>
    <t>grom</t>
  </si>
  <si>
    <t>OVERSOLD</t>
  </si>
  <si>
    <t>amti</t>
  </si>
  <si>
    <t>bmra</t>
  </si>
  <si>
    <t>Fitz on Twitter: "$bmra on watch Accumulation phase COVID 19 stock https://t.co/gbS9GwaAkS" / Twitter</t>
  </si>
  <si>
    <t>dffn</t>
  </si>
  <si>
    <t>Fitz on Twitter: "$dffn COVID 19/Delta play... HCW $30m bought deal at 1.025.... on watch https://t.co/LNcTNTI4Cu" / Twitter</t>
  </si>
  <si>
    <t>idra</t>
  </si>
  <si>
    <t>oyst</t>
  </si>
  <si>
    <t>ipa</t>
  </si>
  <si>
    <t>dpro</t>
  </si>
  <si>
    <t>ensc</t>
  </si>
  <si>
    <t>rnaz</t>
  </si>
  <si>
    <t>Fitz on Twitter: "$rnaz Trading at 2.9... ThinkEquity IPO price of $4... On watch https://t.co/WvoSnKQZsa" / Twitter</t>
  </si>
  <si>
    <t>bsqr</t>
  </si>
  <si>
    <t>Fitz on Twitter: "$eng on watch https://t.co/zeTy5KlQAV" / Twitter</t>
  </si>
  <si>
    <t>enob</t>
  </si>
  <si>
    <t>Fitz on Twitter: "$enob on watch Enochian BioSciences Announces $29 Million Registered Direct Offering Priced At-the-Market Under Nasdaq Rules, H.C. Wainwright &amp;amp; Co. is acting as the exclusive placement agent for the offering https://t.co/s2jDfk1gno" / Twitter</t>
  </si>
  <si>
    <t>ftek</t>
  </si>
  <si>
    <t>pbla</t>
  </si>
  <si>
    <t>Fitz on Twitter: "$pbla on watch HCW bought deal (statistically best type of offering) https://t.co/yPGnQGkorf" / Twitter</t>
  </si>
  <si>
    <t>ptix</t>
  </si>
  <si>
    <t>qli</t>
  </si>
  <si>
    <t>rcmt</t>
  </si>
  <si>
    <t>Fitz on Twitter: "$rcmt https://t.co/0leRM4S9ti" / Twitter</t>
  </si>
  <si>
    <t>evgn</t>
  </si>
  <si>
    <t>isun</t>
  </si>
  <si>
    <t>phvs</t>
  </si>
  <si>
    <t>MogTrader (Fitz) on Twitter: "$phvs Bottom watch https://t.co/Is9kfvvXi0" / Twitter</t>
  </si>
  <si>
    <t>Netherlands</t>
  </si>
  <si>
    <t>sldb</t>
  </si>
  <si>
    <t>anix</t>
  </si>
  <si>
    <t>leds</t>
  </si>
  <si>
    <t>(1) Fitz on Twitter: "$leds on watch BZ: SemiLEDS Shares Spike On Volume Following Report U.S. To Invest $52B In Semiconductor Supply https://t.co/IbppIqaUUJ" / Twitter</t>
  </si>
  <si>
    <t>Taiwan</t>
  </si>
  <si>
    <t>Semiconductors</t>
  </si>
  <si>
    <t>mesa</t>
  </si>
  <si>
    <t>Airlines</t>
  </si>
  <si>
    <t>osat</t>
  </si>
  <si>
    <t>rmed</t>
  </si>
  <si>
    <t>dsp</t>
  </si>
  <si>
    <t>Fitz on Twitter: "$dsp something weird here large block buys, 20RSI, doji candle close watch https://t.co/wDRrrxq8is" / Twitter</t>
  </si>
  <si>
    <t>rcrt</t>
  </si>
  <si>
    <t>vrpx</t>
  </si>
  <si>
    <t>vynt</t>
  </si>
  <si>
    <t>Fitz on Twitter: "$vynt bio on watch been veryyy quiet https://t.co/n4xeCsqach" / Twitter</t>
  </si>
  <si>
    <t>cocp</t>
  </si>
  <si>
    <t>Fitz on Twitter: "$cuen bounce watch https://t.co/laRI8Ll318" / Twitter</t>
  </si>
  <si>
    <t>100 or 200 SMA Bounce</t>
  </si>
  <si>
    <t>Fitz on Twitter: "$gtbp bounce watch https://t.co/nQxTVMrjYy" / Twitter</t>
  </si>
  <si>
    <t>ndra</t>
  </si>
  <si>
    <t>Fitz on Twitter: "$ndra bounce watch https://t.co/7CIflBVWT6" / Twitter</t>
  </si>
  <si>
    <t>poai</t>
  </si>
  <si>
    <t>prpo</t>
  </si>
  <si>
    <t>BOUNCERS</t>
  </si>
  <si>
    <t>vuzi</t>
  </si>
  <si>
    <t>Fitz on Twitter: "$vuzi bounce watch https://t.co/KSTAUAjkyw" / Twitter</t>
  </si>
  <si>
    <t>cmmb</t>
  </si>
  <si>
    <t>Gap Fill Snake</t>
  </si>
  <si>
    <t>cyth</t>
  </si>
  <si>
    <t>mvis</t>
  </si>
  <si>
    <t>Fitz on Twitter: "$qban pink only buying pinks from now on after the garbage $pzoo https://t.co/203LVtDc13" / Twitter</t>
  </si>
  <si>
    <t>vor</t>
  </si>
  <si>
    <t>brqs</t>
  </si>
  <si>
    <t>evk</t>
  </si>
  <si>
    <t>Apparel Manufacturing</t>
  </si>
  <si>
    <t>gbs</t>
  </si>
  <si>
    <t>nby</t>
  </si>
  <si>
    <t>uph</t>
  </si>
  <si>
    <t>vlon</t>
  </si>
  <si>
    <t>wafu</t>
  </si>
  <si>
    <t>cbli</t>
  </si>
  <si>
    <t>chpt</t>
  </si>
  <si>
    <t>Specialty Retail</t>
  </si>
  <si>
    <t>Fitz on Twitter: "something weird with $hgsh" / Twitter</t>
  </si>
  <si>
    <t>mmat</t>
  </si>
  <si>
    <t>Electronic Components</t>
  </si>
  <si>
    <t>nine</t>
  </si>
  <si>
    <t>Fitz on Twitter: "$nine weekly on watch https://t.co/FIxQw7ckaY" / Twitter</t>
  </si>
  <si>
    <t>nuwe</t>
  </si>
  <si>
    <t>sj</t>
  </si>
  <si>
    <t>zivo</t>
  </si>
  <si>
    <t>adxs</t>
  </si>
  <si>
    <t>auvi</t>
  </si>
  <si>
    <t>eols</t>
  </si>
  <si>
    <t>OTC 200 OR 100 OR 50SMA BOUNCE</t>
  </si>
  <si>
    <t>ggii</t>
  </si>
  <si>
    <t>intz</t>
  </si>
  <si>
    <t>mots</t>
  </si>
  <si>
    <t>next</t>
  </si>
  <si>
    <t>nvcn</t>
  </si>
  <si>
    <t>sonm</t>
  </si>
  <si>
    <t>gme</t>
  </si>
  <si>
    <t>Fitz on Twitter: "I'm unironically putting $GME on the watchlist. Yes, it appeared in the scans. https://t.co/rUt0rthm7g" / Twitter</t>
  </si>
  <si>
    <t>apre</t>
  </si>
  <si>
    <t xml:space="preserve">BOUNCERS </t>
  </si>
  <si>
    <t>gbox</t>
  </si>
  <si>
    <t>Fitz on Twitter: "$usws Spotlight on this chart Close watch https://t.co/Uhip2hZbfN" / Twitter</t>
  </si>
  <si>
    <t>adtm</t>
  </si>
  <si>
    <t>MACD Divergence MF</t>
  </si>
  <si>
    <t>cnet</t>
  </si>
  <si>
    <t>Advertising Agencies</t>
  </si>
  <si>
    <t>dxf</t>
  </si>
  <si>
    <t>OTC MEGA REVERSAL</t>
  </si>
  <si>
    <t>fwdg</t>
  </si>
  <si>
    <t>inar</t>
  </si>
  <si>
    <t>incc</t>
  </si>
  <si>
    <t>itvi</t>
  </si>
  <si>
    <t>mngg</t>
  </si>
  <si>
    <t>Fitz on Twitter: "$olb close watch... looking for entries for a lotto https://t.co/lJKdCMQbz3" / Twitter</t>
  </si>
  <si>
    <t>onci</t>
  </si>
  <si>
    <t>seek</t>
  </si>
  <si>
    <t>coe</t>
  </si>
  <si>
    <t>cvm</t>
  </si>
  <si>
    <t>imcc</t>
  </si>
  <si>
    <t>(1) Fitz on Twitter: "$nspr now on WATCH list... wait for buyers to confirm https://t.co/0XgUm1WBE2" / Twitter</t>
  </si>
  <si>
    <t>prfx</t>
  </si>
  <si>
    <t>ugro</t>
  </si>
  <si>
    <t>Fitz on Twitter: "$ugro on watch $50M cash $1M debt https://t.co/p50N8CkLFC" / Twitter</t>
  </si>
  <si>
    <t>Farm &amp; Heavy Construction Machinery</t>
  </si>
  <si>
    <t>bldv</t>
  </si>
  <si>
    <t>Fitz on Twitter: "$dlpn on watchlist, NFT https://t.co/GwwrlpYe9M" / Twitter</t>
  </si>
  <si>
    <t>duo</t>
  </si>
  <si>
    <t>laix</t>
  </si>
  <si>
    <t>Reverse Split</t>
  </si>
  <si>
    <t>virx</t>
  </si>
  <si>
    <t>-</t>
  </si>
  <si>
    <t>ezgo</t>
  </si>
  <si>
    <t>Fitz on Twitter: "$ezgo watchlist... NOT a buy yet https://t.co/oOEWy218fF" / Twitter</t>
  </si>
  <si>
    <t>Recreational Vehicles</t>
  </si>
  <si>
    <t>govx</t>
  </si>
  <si>
    <t>lhdx</t>
  </si>
  <si>
    <t>scps</t>
  </si>
  <si>
    <t>suti</t>
  </si>
  <si>
    <t>wkey</t>
  </si>
  <si>
    <t>Switzerland</t>
  </si>
  <si>
    <t>wwio</t>
  </si>
  <si>
    <t>Fitz on Twitter: "$wwio Great chart, remember $efir? https://t.co/Qdy5I4PdDl" / Twitter</t>
  </si>
  <si>
    <t>xpl</t>
  </si>
  <si>
    <t>All day trades</t>
  </si>
  <si>
    <t>DAY TRADE PERFORMANCE</t>
  </si>
  <si>
    <t>Last updated:</t>
  </si>
  <si>
    <t>Reason?</t>
  </si>
  <si>
    <t>Timeframe</t>
  </si>
  <si>
    <t>Peak After call</t>
  </si>
  <si>
    <t>Peak Time</t>
  </si>
  <si>
    <t>Gamble</t>
  </si>
  <si>
    <t>Range Tighten</t>
  </si>
  <si>
    <t>5m</t>
  </si>
  <si>
    <t>10m</t>
  </si>
  <si>
    <t>Count</t>
  </si>
  <si>
    <t>Max</t>
  </si>
  <si>
    <t>Min</t>
  </si>
  <si>
    <t>Bins</t>
  </si>
  <si>
    <t>Bin width</t>
  </si>
  <si>
    <t>Themes keeps track of the current, hot themes for each day, month, and year</t>
  </si>
  <si>
    <t>Data is subjective and based on anectdotal observations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</si>
  <si>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</si>
  <si>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</si>
  <si>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</si>
  <si>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</si>
  <si>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</si>
  <si>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</si>
  <si>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</si>
  <si>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</si>
  <si>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</si>
  <si>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</si>
  <si>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</si>
  <si>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</si>
  <si>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</si>
  <si>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</si>
  <si>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</si>
  <si>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</si>
  <si>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</si>
  <si>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</si>
  <si>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</si>
  <si>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</si>
  <si>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</si>
  <si>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</si>
  <si>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</si>
  <si>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</si>
  <si>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</si>
  <si>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</si>
  <si>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</si>
  <si>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</si>
  <si>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</si>
  <si>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</si>
  <si>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</si>
  <si>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July</t>
  </si>
  <si>
    <t>August</t>
  </si>
  <si>
    <t>To Be Continued</t>
  </si>
  <si>
    <t>Short volume</t>
  </si>
  <si>
    <t>Ranking stocks</t>
  </si>
  <si>
    <t>PPS</t>
  </si>
  <si>
    <t>https://www.shortvolume.com</t>
  </si>
  <si>
    <t>AWS Management Console (amazon.com)</t>
  </si>
  <si>
    <t>Technicals</t>
  </si>
  <si>
    <t>Recent IPO scan</t>
  </si>
  <si>
    <t>Fundamentals</t>
  </si>
  <si>
    <t>Stock Screener - Charts prevyear o1000 u50 u10 (finviz.com)</t>
  </si>
  <si>
    <t>Theme</t>
  </si>
  <si>
    <t>Futures</t>
  </si>
  <si>
    <t>Futures (finviz.com)</t>
  </si>
  <si>
    <t>Options estimator</t>
  </si>
  <si>
    <t>CINN</t>
  </si>
  <si>
    <t>Diluter</t>
  </si>
  <si>
    <t>Long call calculator: Purchase call options (optionsprofitcalculator.com)</t>
  </si>
  <si>
    <t>CHXE</t>
  </si>
  <si>
    <t>Economic events</t>
  </si>
  <si>
    <t>U.S. Economic Calendar - MarketWatch</t>
  </si>
  <si>
    <t>IPO Calendar</t>
  </si>
  <si>
    <t>IPO Calendar - All Upcoming IPOs | Stock Analysis</t>
  </si>
  <si>
    <t>Selection Scan</t>
  </si>
  <si>
    <t>Stock Screener - Charts smallover o10 o1 nob50 wo3 (finviz.com)</t>
  </si>
  <si>
    <t>IEX Tops</t>
  </si>
  <si>
    <t>https://iextrading.com/apps/stocks/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</si>
</sst>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0.00##"/>
    <numFmt numFmtId="165" formatCode="\$0.00##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rgb="FF000080"/>
      <name val="Tahoma"/>
      <family val="2"/>
    </font>
    <font>
      <b/>
      <sz val="16"/>
      <color rgb="FF000080"/>
      <name val="Tahoma"/>
      <family val="2"/>
    </font>
    <font>
      <b/>
      <sz val="8"/>
      <color rgb="FF00008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FF0000"/>
      <name val="Tahoma"/>
      <family val="2"/>
    </font>
    <font>
      <sz val="10"/>
      <color theme="1"/>
      <name val="Tahoma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4"/>
      <color rgb="FF3F3F76"/>
      <name val="Calibri"/>
      <family val="2"/>
      <scheme val="minor"/>
    </font>
    <font>
      <i/>
      <sz val="18"/>
      <name val="Calibri"/>
      <family val="2"/>
      <scheme val="minor"/>
    </font>
  </fonts>
  <fills count="19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5DA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1ECD8"/>
        <bgColor indexed="64"/>
      </patternFill>
    </fill>
    <fill>
      <patternFill patternType="solid">
        <fgColor rgb="FFB3E0BF"/>
        <bgColor indexed="64"/>
      </patternFill>
    </fill>
    <fill>
      <patternFill patternType="solid">
        <fgColor rgb="FFE1F3E6"/>
        <bgColor indexed="64"/>
      </patternFill>
    </fill>
    <fill>
      <patternFill patternType="solid">
        <fgColor rgb="FFD6EEDC"/>
        <bgColor indexed="64"/>
      </patternFill>
    </fill>
    <fill>
      <patternFill patternType="solid">
        <fgColor rgb="FFEAF6ED"/>
        <bgColor indexed="64"/>
      </patternFill>
    </fill>
    <fill>
      <patternFill patternType="solid">
        <fgColor rgb="FFB7E1C3"/>
        <bgColor indexed="64"/>
      </patternFill>
    </fill>
    <fill>
      <patternFill patternType="solid">
        <fgColor rgb="FF6DC384"/>
        <bgColor indexed="64"/>
      </patternFill>
    </fill>
    <fill>
      <patternFill patternType="solid">
        <fgColor rgb="FFBBE3C6"/>
        <bgColor indexed="64"/>
      </patternFill>
    </fill>
    <fill>
      <patternFill patternType="solid">
        <fgColor rgb="FFE6F5EA"/>
        <bgColor indexed="64"/>
      </patternFill>
    </fill>
    <fill>
      <patternFill patternType="solid">
        <fgColor rgb="FFC8E8D1"/>
        <bgColor indexed="64"/>
      </patternFill>
    </fill>
    <fill>
      <patternFill patternType="solid">
        <fgColor rgb="FFC4E7CD"/>
        <bgColor indexed="64"/>
      </patternFill>
    </fill>
    <fill>
      <patternFill patternType="solid">
        <fgColor rgb="FF98D4A8"/>
        <bgColor indexed="64"/>
      </patternFill>
    </fill>
    <fill>
      <patternFill patternType="solid">
        <fgColor rgb="FFA9DCB6"/>
        <bgColor indexed="64"/>
      </patternFill>
    </fill>
    <fill>
      <patternFill patternType="solid">
        <fgColor rgb="FF74C58A"/>
        <bgColor indexed="64"/>
      </patternFill>
    </fill>
    <fill>
      <patternFill patternType="solid">
        <fgColor rgb="FFE0F2E5"/>
        <bgColor indexed="64"/>
      </patternFill>
    </fill>
    <fill>
      <patternFill patternType="solid">
        <fgColor rgb="FFEAF7EE"/>
        <bgColor indexed="64"/>
      </patternFill>
    </fill>
    <fill>
      <patternFill patternType="solid">
        <fgColor rgb="FFAADCB7"/>
        <bgColor indexed="64"/>
      </patternFill>
    </fill>
    <fill>
      <patternFill patternType="solid">
        <fgColor rgb="FFF8FCF9"/>
        <bgColor indexed="64"/>
      </patternFill>
    </fill>
    <fill>
      <patternFill patternType="solid">
        <fgColor rgb="FFE3F4E8"/>
        <bgColor indexed="64"/>
      </patternFill>
    </fill>
    <fill>
      <patternFill patternType="solid">
        <fgColor rgb="FFEEF8F1"/>
        <bgColor indexed="64"/>
      </patternFill>
    </fill>
    <fill>
      <patternFill patternType="solid">
        <fgColor rgb="FF70C486"/>
        <bgColor indexed="64"/>
      </patternFill>
    </fill>
    <fill>
      <patternFill patternType="solid">
        <fgColor rgb="FFF5FBF6"/>
        <bgColor indexed="64"/>
      </patternFill>
    </fill>
    <fill>
      <patternFill patternType="solid">
        <fgColor rgb="FF64BF7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8ED0A0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BEE4C8"/>
        <bgColor indexed="64"/>
      </patternFill>
    </fill>
    <fill>
      <patternFill patternType="solid">
        <fgColor rgb="FF93D2A4"/>
        <bgColor indexed="64"/>
      </patternFill>
    </fill>
    <fill>
      <patternFill patternType="solid">
        <fgColor rgb="FFEBF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C589"/>
        <bgColor indexed="64"/>
      </patternFill>
    </fill>
    <fill>
      <patternFill patternType="solid">
        <fgColor rgb="FFB2DFBE"/>
        <bgColor indexed="64"/>
      </patternFill>
    </fill>
    <fill>
      <patternFill patternType="solid">
        <fgColor rgb="FFCDEAD5"/>
        <bgColor indexed="64"/>
      </patternFill>
    </fill>
    <fill>
      <patternFill patternType="solid">
        <fgColor rgb="FF8BCF9D"/>
        <bgColor indexed="64"/>
      </patternFill>
    </fill>
    <fill>
      <patternFill patternType="solid">
        <fgColor rgb="FFB6E1C1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A8DBB6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D8EFDE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97D4A7"/>
        <bgColor indexed="64"/>
      </patternFill>
    </fill>
    <fill>
      <patternFill patternType="solid">
        <fgColor rgb="FFD9EFDF"/>
        <bgColor indexed="64"/>
      </patternFill>
    </fill>
    <fill>
      <patternFill patternType="solid">
        <fgColor rgb="FF8FD1A0"/>
        <bgColor indexed="64"/>
      </patternFill>
    </fill>
    <fill>
      <patternFill patternType="solid">
        <fgColor rgb="FFDAF0E0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1F9F3"/>
        <bgColor indexed="64"/>
      </patternFill>
    </fill>
    <fill>
      <patternFill patternType="solid">
        <fgColor rgb="FFCFEBD7"/>
        <bgColor indexed="64"/>
      </patternFill>
    </fill>
    <fill>
      <patternFill patternType="solid">
        <fgColor rgb="FF9DD6AC"/>
        <bgColor indexed="64"/>
      </patternFill>
    </fill>
    <fill>
      <patternFill patternType="solid">
        <fgColor rgb="FFE7F5EA"/>
        <bgColor indexed="64"/>
      </patternFill>
    </fill>
    <fill>
      <patternFill patternType="solid">
        <fgColor rgb="FFE2F3E7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6BC282"/>
        <bgColor indexed="64"/>
      </patternFill>
    </fill>
    <fill>
      <patternFill patternType="solid">
        <fgColor rgb="FFF4FBF6"/>
        <bgColor indexed="64"/>
      </patternFill>
    </fill>
    <fill>
      <patternFill patternType="solid">
        <fgColor rgb="FF68C07F"/>
        <bgColor indexed="64"/>
      </patternFill>
    </fill>
    <fill>
      <patternFill patternType="solid">
        <fgColor rgb="FFB9E2C4"/>
        <bgColor indexed="64"/>
      </patternFill>
    </fill>
    <fill>
      <patternFill patternType="solid">
        <fgColor rgb="FFEEF8F0"/>
        <bgColor indexed="64"/>
      </patternFill>
    </fill>
    <fill>
      <patternFill patternType="solid">
        <fgColor rgb="FFB6E1C2"/>
        <bgColor indexed="64"/>
      </patternFill>
    </fill>
    <fill>
      <patternFill patternType="solid">
        <fgColor rgb="FF9DD7AD"/>
        <bgColor indexed="64"/>
      </patternFill>
    </fill>
    <fill>
      <patternFill patternType="solid">
        <fgColor rgb="FF7FCA93"/>
        <bgColor indexed="64"/>
      </patternFill>
    </fill>
    <fill>
      <patternFill patternType="solid">
        <fgColor rgb="FFDCF1E2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BFE5C9"/>
        <bgColor indexed="64"/>
      </patternFill>
    </fill>
    <fill>
      <patternFill patternType="solid">
        <fgColor rgb="FFD4EDDB"/>
        <bgColor indexed="64"/>
      </patternFill>
    </fill>
    <fill>
      <patternFill patternType="solid">
        <fgColor rgb="FFA4D9B2"/>
        <bgColor indexed="64"/>
      </patternFill>
    </fill>
    <fill>
      <patternFill patternType="solid">
        <fgColor rgb="FFC3E6CC"/>
        <bgColor indexed="64"/>
      </patternFill>
    </fill>
    <fill>
      <patternFill patternType="solid">
        <fgColor rgb="FFA9DCB7"/>
        <bgColor indexed="64"/>
      </patternFill>
    </fill>
    <fill>
      <patternFill patternType="solid">
        <fgColor rgb="FFC6E7CE"/>
        <bgColor indexed="64"/>
      </patternFill>
    </fill>
    <fill>
      <patternFill patternType="solid">
        <fgColor rgb="FFC2E6CC"/>
        <bgColor indexed="64"/>
      </patternFill>
    </fill>
    <fill>
      <patternFill patternType="solid">
        <fgColor rgb="FFDBF0E1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75C68B"/>
        <bgColor indexed="64"/>
      </patternFill>
    </fill>
    <fill>
      <patternFill patternType="solid">
        <fgColor rgb="FFAEDDBA"/>
        <bgColor indexed="64"/>
      </patternFill>
    </fill>
    <fill>
      <patternFill patternType="solid">
        <fgColor rgb="FFCAE9D2"/>
        <bgColor indexed="64"/>
      </patternFill>
    </fill>
    <fill>
      <patternFill patternType="solid">
        <fgColor rgb="FFD3EDDA"/>
        <bgColor indexed="64"/>
      </patternFill>
    </fill>
    <fill>
      <patternFill patternType="solid">
        <fgColor rgb="FFECF8EF"/>
        <bgColor indexed="64"/>
      </patternFill>
    </fill>
    <fill>
      <patternFill patternType="solid">
        <fgColor rgb="FFFF1818"/>
        <bgColor indexed="64"/>
      </patternFill>
    </fill>
    <fill>
      <patternFill patternType="solid">
        <fgColor rgb="FF89CE9B"/>
        <bgColor indexed="64"/>
      </patternFill>
    </fill>
    <fill>
      <patternFill patternType="solid">
        <fgColor rgb="FF95D3A5"/>
        <bgColor indexed="64"/>
      </patternFill>
    </fill>
    <fill>
      <patternFill patternType="solid">
        <fgColor rgb="FF8ACE9C"/>
        <bgColor indexed="64"/>
      </patternFill>
    </fill>
    <fill>
      <patternFill patternType="solid">
        <fgColor rgb="FFF2FAF4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D3EDD9"/>
        <bgColor indexed="64"/>
      </patternFill>
    </fill>
    <fill>
      <patternFill patternType="solid">
        <fgColor rgb="FFAFDEBC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5FBF7"/>
        <bgColor indexed="64"/>
      </patternFill>
    </fill>
    <fill>
      <patternFill patternType="solid">
        <fgColor rgb="FFC9E9D1"/>
        <bgColor indexed="64"/>
      </patternFill>
    </fill>
    <fill>
      <patternFill patternType="solid">
        <fgColor rgb="FFAFDEBB"/>
        <bgColor indexed="64"/>
      </patternFill>
    </fill>
    <fill>
      <patternFill patternType="solid">
        <fgColor rgb="FFE9F6EC"/>
        <bgColor indexed="64"/>
      </patternFill>
    </fill>
    <fill>
      <patternFill patternType="solid">
        <fgColor rgb="FFDFF2E4"/>
        <bgColor indexed="64"/>
      </patternFill>
    </fill>
    <fill>
      <patternFill patternType="solid">
        <fgColor rgb="FFC1E6CB"/>
        <bgColor indexed="64"/>
      </patternFill>
    </fill>
    <fill>
      <patternFill patternType="solid">
        <fgColor rgb="FFC6E8CF"/>
        <bgColor indexed="64"/>
      </patternFill>
    </fill>
    <fill>
      <patternFill patternType="solid">
        <fgColor rgb="FFD0ECD7"/>
        <bgColor indexed="64"/>
      </patternFill>
    </fill>
    <fill>
      <patternFill patternType="solid">
        <fgColor rgb="FFB5E1C1"/>
        <bgColor indexed="64"/>
      </patternFill>
    </fill>
    <fill>
      <patternFill patternType="solid">
        <fgColor rgb="FFEFF9F1"/>
        <bgColor indexed="64"/>
      </patternFill>
    </fill>
    <fill>
      <patternFill patternType="solid">
        <fgColor rgb="FFE8F6EB"/>
        <bgColor indexed="64"/>
      </patternFill>
    </fill>
    <fill>
      <patternFill patternType="solid">
        <fgColor rgb="FFA8DBB5"/>
        <bgColor indexed="64"/>
      </patternFill>
    </fill>
    <fill>
      <patternFill patternType="solid">
        <fgColor rgb="FF84CC97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9CD6AB"/>
        <bgColor indexed="64"/>
      </patternFill>
    </fill>
    <fill>
      <patternFill patternType="solid">
        <fgColor rgb="FF75C68A"/>
        <bgColor indexed="64"/>
      </patternFill>
    </fill>
    <fill>
      <patternFill patternType="solid">
        <fgColor rgb="FF92D2A2"/>
        <bgColor indexed="64"/>
      </patternFill>
    </fill>
    <fill>
      <patternFill patternType="solid">
        <fgColor rgb="FF83CB96"/>
        <bgColor indexed="64"/>
      </patternFill>
    </fill>
    <fill>
      <patternFill patternType="solid">
        <fgColor rgb="FF6DC283"/>
        <bgColor indexed="64"/>
      </patternFill>
    </fill>
    <fill>
      <patternFill patternType="solid">
        <fgColor rgb="FFE5F4E9"/>
        <bgColor indexed="64"/>
      </patternFill>
    </fill>
    <fill>
      <patternFill patternType="solid">
        <fgColor rgb="FFF0F9F2"/>
        <bgColor indexed="64"/>
      </patternFill>
    </fill>
    <fill>
      <patternFill patternType="solid">
        <fgColor rgb="FFF3FAF5"/>
        <bgColor indexed="64"/>
      </patternFill>
    </fill>
    <fill>
      <patternFill patternType="solid">
        <fgColor rgb="FFFF0B0B"/>
        <bgColor indexed="64"/>
      </patternFill>
    </fill>
    <fill>
      <patternFill patternType="solid">
        <fgColor rgb="FF91D1A2"/>
        <bgColor indexed="64"/>
      </patternFill>
    </fill>
    <fill>
      <patternFill patternType="solid">
        <fgColor rgb="FF9FD7AE"/>
        <bgColor indexed="64"/>
      </patternFill>
    </fill>
    <fill>
      <patternFill patternType="solid">
        <fgColor rgb="FFE2F3E6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DEBD5"/>
        <bgColor indexed="64"/>
      </patternFill>
    </fill>
    <fill>
      <patternFill patternType="solid">
        <fgColor rgb="FFDEF2E3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EDF8E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ACAC"/>
        <bgColor indexed="64"/>
      </patternFill>
    </fill>
    <fill>
      <patternFill patternType="solid">
        <fgColor rgb="FFF4FBF5"/>
        <bgColor indexed="64"/>
      </patternFill>
    </fill>
    <fill>
      <patternFill patternType="solid">
        <fgColor rgb="FFFF1212"/>
        <bgColor indexed="64"/>
      </patternFill>
    </fill>
    <fill>
      <patternFill patternType="solid">
        <fgColor rgb="FFFBFDFB"/>
        <bgColor indexed="64"/>
      </patternFill>
    </fill>
    <fill>
      <patternFill patternType="solid">
        <fgColor rgb="FF83CC96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E7F5EB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9FDFA"/>
        <bgColor indexed="64"/>
      </patternFill>
    </fill>
    <fill>
      <patternFill patternType="solid">
        <fgColor rgb="FFEFF9F2"/>
        <bgColor indexed="64"/>
      </patternFill>
    </fill>
    <fill>
      <patternFill patternType="solid">
        <fgColor rgb="FFFF6262"/>
        <bgColor indexed="64"/>
      </patternFill>
    </fill>
    <fill>
      <patternFill patternType="solid">
        <fgColor rgb="FF99D5A9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6FCF7"/>
        <bgColor indexed="64"/>
      </patternFill>
    </fill>
    <fill>
      <patternFill patternType="solid">
        <fgColor rgb="FFEDF8F0"/>
        <bgColor indexed="64"/>
      </patternFill>
    </fill>
    <fill>
      <patternFill patternType="solid">
        <fgColor rgb="FFFF1313"/>
        <bgColor indexed="64"/>
      </patternFill>
    </fill>
    <fill>
      <patternFill patternType="solid">
        <fgColor rgb="FFD5EEDC"/>
        <bgColor indexed="64"/>
      </patternFill>
    </fill>
    <fill>
      <patternFill patternType="solid">
        <fgColor rgb="FFBAE2C5"/>
        <bgColor indexed="64"/>
      </patternFill>
    </fill>
    <fill>
      <patternFill patternType="solid">
        <fgColor rgb="FFF0F9F3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DEF1E3"/>
        <bgColor indexed="64"/>
      </patternFill>
    </fill>
    <fill>
      <patternFill patternType="solid">
        <fgColor rgb="FF87CD9A"/>
        <bgColor indexed="64"/>
      </patternFill>
    </fill>
    <fill>
      <patternFill patternType="solid">
        <fgColor rgb="FF8ACF9C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4848"/>
        <bgColor indexed="64"/>
      </patternFill>
    </fill>
    <fill>
      <patternFill patternType="solid">
        <fgColor rgb="FFC1E5CB"/>
        <bgColor indexed="64"/>
      </patternFill>
    </fill>
    <fill>
      <patternFill patternType="solid">
        <fgColor rgb="FFD5EEDB"/>
        <bgColor indexed="64"/>
      </patternFill>
    </fill>
    <fill>
      <patternFill patternType="solid">
        <fgColor rgb="FFB5E0C0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E0F2E4"/>
        <bgColor indexed="64"/>
      </patternFill>
    </fill>
    <fill>
      <patternFill patternType="solid">
        <fgColor rgb="FFC7E8D0"/>
        <bgColor indexed="64"/>
      </patternFill>
    </fill>
    <fill>
      <patternFill patternType="solid">
        <fgColor rgb="FFD2ECD9"/>
        <bgColor indexed="64"/>
      </patternFill>
    </fill>
    <fill>
      <patternFill patternType="solid">
        <fgColor rgb="FFE9F6ED"/>
        <bgColor indexed="64"/>
      </patternFill>
    </fill>
    <fill>
      <patternFill patternType="solid">
        <fgColor rgb="FF80CA94"/>
        <bgColor indexed="64"/>
      </patternFill>
    </fill>
    <fill>
      <patternFill patternType="solid">
        <fgColor rgb="FFFBFEFC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ECF7EF"/>
        <bgColor indexed="64"/>
      </patternFill>
    </fill>
    <fill>
      <patternFill patternType="solid">
        <fgColor rgb="FFF1FAF4"/>
        <bgColor indexed="64"/>
      </patternFill>
    </fill>
    <fill>
      <patternFill patternType="solid">
        <fgColor rgb="FFBCE3C6"/>
        <bgColor indexed="64"/>
      </patternFill>
    </fill>
    <fill>
      <patternFill patternType="solid">
        <fgColor rgb="FFCBEAD3"/>
        <bgColor indexed="64"/>
      </patternFill>
    </fill>
    <fill>
      <patternFill patternType="solid">
        <fgColor rgb="FFF7FCF9"/>
        <bgColor indexed="64"/>
      </patternFill>
    </fill>
    <fill>
      <patternFill patternType="solid">
        <fgColor rgb="FFFF0505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A8A8"/>
        <bgColor indexed="64"/>
      </patternFill>
    </fill>
    <fill>
      <patternFill patternType="solid">
        <fgColor rgb="FFFBFEFB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AFDFB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E5F5E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gradientFill degree="180">
        <stop position="0">
          <color theme="0"/>
        </stop>
        <stop position="1">
          <color rgb="FF00B0F0"/>
        </stop>
      </gradientFill>
    </fill>
    <fill>
      <patternFill patternType="solid">
        <fgColor rgb="FF00B05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</fills>
  <borders count="67">
    <border>
      <left/>
      <right/>
      <top/>
      <bottom/>
      <diagonal/>
    </border>
    <border>
      <left style="medium">
        <color rgb="FF000080"/>
      </left>
      <right/>
      <top style="thick">
        <color rgb="FF000080"/>
      </top>
      <bottom/>
      <diagonal/>
    </border>
    <border>
      <left/>
      <right style="medium">
        <color rgb="FF000080"/>
      </right>
      <top/>
      <bottom/>
      <diagonal/>
    </border>
    <border>
      <left/>
      <right style="medium">
        <color rgb="FF000080"/>
      </right>
      <top style="thick">
        <color rgb="FF000080"/>
      </top>
      <bottom/>
      <diagonal/>
    </border>
    <border>
      <left/>
      <right/>
      <top style="thick">
        <color rgb="FF000080"/>
      </top>
      <bottom/>
      <diagonal/>
    </border>
    <border>
      <left/>
      <right style="medium">
        <color rgb="FF000080"/>
      </right>
      <top style="thick">
        <color rgb="FF000080"/>
      </top>
      <bottom style="medium">
        <color rgb="FF00008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80"/>
      </left>
      <right/>
      <top/>
      <bottom/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 style="thick">
        <color rgb="FF000080"/>
      </bottom>
      <diagonal/>
    </border>
    <border>
      <left/>
      <right/>
      <top/>
      <bottom style="thick">
        <color rgb="FF000080"/>
      </bottom>
      <diagonal/>
    </border>
    <border>
      <left/>
      <right style="medium">
        <color rgb="FF00008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80"/>
      </bottom>
      <diagonal/>
    </border>
    <border>
      <left/>
      <right style="mediumDashed">
        <color rgb="FF000080"/>
      </right>
      <top/>
      <bottom style="thick">
        <color rgb="FF000080"/>
      </bottom>
      <diagonal/>
    </border>
    <border>
      <left/>
      <right style="medium">
        <color rgb="FF3F3F3F"/>
      </right>
      <top/>
      <bottom style="medium">
        <color rgb="FF3F3F3F"/>
      </bottom>
      <diagonal/>
    </border>
    <border>
      <left style="medium">
        <color rgb="FF000000"/>
      </left>
      <right style="medium">
        <color rgb="FF000080"/>
      </right>
      <top/>
      <bottom/>
      <diagonal/>
    </border>
    <border>
      <left style="medium">
        <color rgb="FF000080"/>
      </left>
      <right style="medium">
        <color rgb="FF000080"/>
      </right>
      <top style="thick">
        <color rgb="FF000080"/>
      </top>
      <bottom/>
      <diagonal/>
    </border>
    <border>
      <left style="medium">
        <color rgb="FF000080"/>
      </left>
      <right style="medium">
        <color rgb="FF000000"/>
      </right>
      <top/>
      <bottom style="thick">
        <color rgb="FF00008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80"/>
      </bottom>
      <diagonal/>
    </border>
    <border>
      <left style="medium">
        <color rgb="FF000000"/>
      </left>
      <right style="medium">
        <color rgb="FF000080"/>
      </right>
      <top/>
      <bottom style="thick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thick">
        <color rgb="FF000080"/>
      </bottom>
      <diagonal/>
    </border>
    <border>
      <left style="medium">
        <color rgb="FF000080"/>
      </left>
      <right style="medium">
        <color rgb="FF000080"/>
      </right>
      <top/>
      <bottom/>
      <diagonal/>
    </border>
    <border>
      <left style="medium">
        <color rgb="FF00008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80"/>
      </left>
      <right style="medium">
        <color rgb="FF00008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80"/>
      </right>
      <top style="medium">
        <color rgb="FF000000"/>
      </top>
      <bottom/>
      <diagonal/>
    </border>
    <border>
      <left style="medium">
        <color rgb="FF000080"/>
      </left>
      <right style="medium">
        <color rgb="FF000080"/>
      </right>
      <top style="medium">
        <color rgb="FF000000"/>
      </top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rgb="FF000080"/>
      </bottom>
      <diagonal/>
    </border>
    <border>
      <left style="thick">
        <color theme="9"/>
      </left>
      <right style="thick">
        <color theme="9"/>
      </right>
      <top/>
      <bottom style="medium">
        <color rgb="FF000080"/>
      </bottom>
      <diagonal/>
    </border>
    <border>
      <left style="thick">
        <color theme="9"/>
      </left>
      <right style="thick">
        <color theme="9"/>
      </right>
      <top/>
      <bottom/>
      <diagonal/>
    </border>
    <border>
      <left style="thick">
        <color theme="9"/>
      </left>
      <right style="thick">
        <color theme="9"/>
      </right>
      <top/>
      <bottom style="medium">
        <color rgb="FF000000"/>
      </bottom>
      <diagonal/>
    </border>
    <border>
      <left/>
      <right style="thick">
        <color theme="9"/>
      </right>
      <top/>
      <bottom style="medium">
        <color rgb="FF000080"/>
      </bottom>
      <diagonal/>
    </border>
    <border>
      <left/>
      <right style="thick">
        <color theme="9"/>
      </right>
      <top style="thick">
        <color theme="9"/>
      </top>
      <bottom style="thick">
        <color rgb="FF000080"/>
      </bottom>
      <diagonal/>
    </border>
    <border>
      <left/>
      <right style="thick">
        <color theme="9"/>
      </right>
      <top/>
      <bottom/>
      <diagonal/>
    </border>
    <border>
      <left/>
      <right style="medium">
        <color rgb="FF3F3F3F"/>
      </right>
      <top/>
      <bottom/>
      <diagonal/>
    </border>
    <border>
      <left style="thick">
        <color theme="9"/>
      </left>
      <right/>
      <top/>
      <bottom/>
      <diagonal/>
    </border>
    <border>
      <left style="thick">
        <color auto="1"/>
      </left>
      <right style="medium">
        <color rgb="FF000080"/>
      </right>
      <top style="thick">
        <color rgb="FF000080"/>
      </top>
      <bottom style="medium">
        <color rgb="FF000080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rgb="FF000080"/>
      </right>
      <top/>
      <bottom style="medium">
        <color rgb="FF000080"/>
      </bottom>
      <diagonal/>
    </border>
    <border>
      <left style="thick">
        <color auto="1"/>
      </left>
      <right style="medium">
        <color rgb="FF000080"/>
      </right>
      <top/>
      <bottom style="thick">
        <color rgb="FF000080"/>
      </bottom>
      <diagonal/>
    </border>
    <border>
      <left style="thick">
        <color auto="1"/>
      </left>
      <right/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 style="thick">
        <color theme="9"/>
      </top>
      <bottom/>
      <diagonal/>
    </border>
    <border>
      <left style="thick">
        <color auto="1"/>
      </left>
      <right style="mediumDashed">
        <color rgb="FF000080"/>
      </right>
      <top/>
      <bottom/>
      <diagonal/>
    </border>
    <border>
      <left/>
      <right style="mediumDashed">
        <color rgb="FF000080"/>
      </right>
      <top/>
      <bottom/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rgb="FF000000"/>
      </top>
      <bottom style="thick">
        <color theme="9"/>
      </bottom>
      <diagonal/>
    </border>
    <border>
      <left/>
      <right style="thick">
        <color theme="9"/>
      </right>
      <top style="medium">
        <color rgb="FF000000"/>
      </top>
      <bottom style="thick">
        <color theme="9"/>
      </bottom>
      <diagonal/>
    </border>
    <border>
      <left style="thick">
        <color theme="9"/>
      </left>
      <right style="thick">
        <color theme="9"/>
      </right>
      <top style="medium">
        <color rgb="FF000000"/>
      </top>
      <bottom style="thick">
        <color theme="9"/>
      </bottom>
      <diagonal/>
    </border>
    <border>
      <left/>
      <right style="thick">
        <color auto="1"/>
      </right>
      <top style="thick">
        <color rgb="FF00008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auto="1"/>
      </right>
      <top/>
      <bottom/>
      <diagonal/>
    </border>
    <border>
      <left style="medium">
        <color rgb="FF000080"/>
      </left>
      <right style="thick">
        <color auto="1"/>
      </right>
      <top style="thick">
        <color rgb="FF000080"/>
      </top>
      <bottom/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6" fillId="0" borderId="0"/>
    <xf numFmtId="0" fontId="16" fillId="185" borderId="60"/>
    <xf numFmtId="0" fontId="17" fillId="0" borderId="0"/>
  </cellStyleXfs>
  <cellXfs count="40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4" fillId="0" borderId="7" xfId="0" applyFont="1" applyBorder="1"/>
    <xf numFmtId="0" fontId="3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1" fillId="0" borderId="10" xfId="0" applyFont="1" applyBorder="1"/>
    <xf numFmtId="164" fontId="5" fillId="0" borderId="14" xfId="0" applyNumberFormat="1" applyFont="1" applyBorder="1" applyAlignment="1">
      <alignment horizontal="center" vertical="center"/>
    </xf>
    <xf numFmtId="15" fontId="3" fillId="0" borderId="7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3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1" fillId="3" borderId="8" xfId="0" applyNumberFormat="1" applyFont="1" applyFill="1" applyBorder="1" applyAlignment="1">
      <alignment horizontal="center" vertical="center"/>
    </xf>
    <xf numFmtId="164" fontId="1" fillId="3" borderId="9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164" fontId="2" fillId="5" borderId="30" xfId="0" applyNumberFormat="1" applyFont="1" applyFill="1" applyBorder="1" applyAlignment="1">
      <alignment horizontal="center" vertical="center"/>
    </xf>
    <xf numFmtId="14" fontId="2" fillId="5" borderId="32" xfId="0" applyNumberFormat="1" applyFont="1" applyFill="1" applyBorder="1" applyAlignment="1">
      <alignment horizontal="center" vertical="center"/>
    </xf>
    <xf numFmtId="10" fontId="2" fillId="4" borderId="15" xfId="0" applyNumberFormat="1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7" fillId="5" borderId="33" xfId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31" xfId="1" applyFont="1" applyBorder="1" applyAlignment="1">
      <alignment horizontal="center"/>
    </xf>
    <xf numFmtId="0" fontId="2" fillId="5" borderId="31" xfId="0" applyFont="1" applyFill="1" applyBorder="1" applyAlignment="1">
      <alignment horizontal="center" vertical="center"/>
    </xf>
    <xf numFmtId="164" fontId="2" fillId="5" borderId="31" xfId="0" applyNumberFormat="1" applyFont="1" applyFill="1" applyBorder="1" applyAlignment="1">
      <alignment horizontal="center" vertical="center"/>
    </xf>
    <xf numFmtId="14" fontId="2" fillId="5" borderId="31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0" fontId="2" fillId="4" borderId="36" xfId="0" applyNumberFormat="1" applyFont="1" applyFill="1" applyBorder="1" applyAlignment="1">
      <alignment horizontal="center" vertical="center"/>
    </xf>
    <xf numFmtId="0" fontId="11" fillId="5" borderId="30" xfId="0" applyFont="1" applyFill="1" applyBorder="1" applyAlignment="1">
      <alignment horizontal="center" vertical="center"/>
    </xf>
    <xf numFmtId="0" fontId="0" fillId="0" borderId="37" xfId="0" applyBorder="1"/>
    <xf numFmtId="164" fontId="1" fillId="3" borderId="38" xfId="0" applyNumberFormat="1" applyFont="1" applyFill="1" applyBorder="1" applyAlignment="1">
      <alignment vertical="center"/>
    </xf>
    <xf numFmtId="164" fontId="1" fillId="3" borderId="40" xfId="0" applyNumberFormat="1" applyFont="1" applyFill="1" applyBorder="1" applyAlignment="1">
      <alignment vertical="center"/>
    </xf>
    <xf numFmtId="164" fontId="1" fillId="3" borderId="41" xfId="0" applyNumberFormat="1" applyFont="1" applyFill="1" applyBorder="1" applyAlignment="1">
      <alignment vertical="center"/>
    </xf>
    <xf numFmtId="164" fontId="0" fillId="0" borderId="42" xfId="0" applyNumberFormat="1" applyBorder="1"/>
    <xf numFmtId="164" fontId="0" fillId="0" borderId="0" xfId="0" applyNumberFormat="1"/>
    <xf numFmtId="0" fontId="0" fillId="0" borderId="0" xfId="0"/>
    <xf numFmtId="0" fontId="0" fillId="0" borderId="39" xfId="0" applyBorder="1"/>
    <xf numFmtId="0" fontId="5" fillId="0" borderId="43" xfId="0" applyFont="1" applyBorder="1" applyAlignment="1">
      <alignment horizontal="center" vertical="center"/>
    </xf>
    <xf numFmtId="164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64" fontId="5" fillId="0" borderId="45" xfId="0" applyNumberFormat="1" applyFont="1" applyBorder="1" applyAlignment="1">
      <alignment horizontal="center" vertical="center"/>
    </xf>
    <xf numFmtId="164" fontId="5" fillId="0" borderId="46" xfId="0" applyNumberFormat="1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9" fillId="0" borderId="31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9" fillId="5" borderId="33" xfId="1" applyFont="1" applyFill="1" applyBorder="1" applyAlignment="1">
      <alignment horizontal="center" vertical="center"/>
    </xf>
    <xf numFmtId="0" fontId="7" fillId="5" borderId="35" xfId="1" applyFont="1" applyFill="1" applyBorder="1" applyAlignment="1">
      <alignment horizontal="center" vertical="center"/>
    </xf>
    <xf numFmtId="0" fontId="6" fillId="0" borderId="31" xfId="1" applyBorder="1"/>
    <xf numFmtId="0" fontId="6" fillId="0" borderId="30" xfId="1" applyBorder="1"/>
    <xf numFmtId="164" fontId="10" fillId="5" borderId="31" xfId="0" applyNumberFormat="1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164" fontId="12" fillId="0" borderId="51" xfId="0" applyNumberFormat="1" applyFont="1" applyBorder="1" applyAlignment="1">
      <alignment horizontal="center" vertical="center"/>
    </xf>
    <xf numFmtId="10" fontId="12" fillId="0" borderId="51" xfId="0" applyNumberFormat="1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/>
    </xf>
    <xf numFmtId="0" fontId="7" fillId="0" borderId="52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13" fillId="0" borderId="48" xfId="1" applyFont="1" applyBorder="1"/>
    <xf numFmtId="0" fontId="7" fillId="0" borderId="48" xfId="0" applyFont="1" applyBorder="1" applyAlignment="1">
      <alignment horizontal="center"/>
    </xf>
    <xf numFmtId="164" fontId="7" fillId="0" borderId="48" xfId="0" applyNumberFormat="1" applyFont="1" applyBorder="1" applyAlignment="1">
      <alignment horizontal="center"/>
    </xf>
    <xf numFmtId="10" fontId="7" fillId="0" borderId="48" xfId="0" applyNumberFormat="1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13" fillId="0" borderId="51" xfId="1" applyFont="1" applyBorder="1"/>
    <xf numFmtId="164" fontId="7" fillId="0" borderId="51" xfId="0" applyNumberFormat="1" applyFont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0" xfId="0" quotePrefix="1" applyFont="1" applyBorder="1" applyAlignment="1">
      <alignment horizontal="center"/>
    </xf>
    <xf numFmtId="0" fontId="13" fillId="0" borderId="51" xfId="1" applyFont="1" applyBorder="1" applyAlignment="1">
      <alignment horizontal="center"/>
    </xf>
    <xf numFmtId="0" fontId="7" fillId="0" borderId="50" xfId="0" applyFont="1" applyBorder="1" applyAlignment="1">
      <alignment horizontal="center" vertical="center"/>
    </xf>
    <xf numFmtId="164" fontId="7" fillId="0" borderId="51" xfId="0" applyNumberFormat="1" applyFont="1" applyBorder="1" applyAlignment="1">
      <alignment horizontal="center" vertical="center"/>
    </xf>
    <xf numFmtId="10" fontId="7" fillId="154" borderId="51" xfId="0" applyNumberFormat="1" applyFont="1" applyFill="1" applyBorder="1" applyAlignment="1">
      <alignment horizontal="center" vertical="center"/>
    </xf>
    <xf numFmtId="10" fontId="7" fillId="68" borderId="51" xfId="0" applyNumberFormat="1" applyFont="1" applyFill="1" applyBorder="1" applyAlignment="1">
      <alignment horizontal="center" vertical="center"/>
    </xf>
    <xf numFmtId="0" fontId="7" fillId="0" borderId="51" xfId="0" applyFont="1" applyBorder="1" applyAlignment="1">
      <alignment horizontal="center" wrapText="1"/>
    </xf>
    <xf numFmtId="10" fontId="7" fillId="47" borderId="51" xfId="0" applyNumberFormat="1" applyFont="1" applyFill="1" applyBorder="1" applyAlignment="1">
      <alignment horizontal="center" vertical="center"/>
    </xf>
    <xf numFmtId="10" fontId="7" fillId="88" borderId="51" xfId="0" applyNumberFormat="1" applyFont="1" applyFill="1" applyBorder="1" applyAlignment="1">
      <alignment horizontal="center" vertical="center"/>
    </xf>
    <xf numFmtId="10" fontId="7" fillId="93" borderId="51" xfId="0" applyNumberFormat="1" applyFont="1" applyFill="1" applyBorder="1" applyAlignment="1">
      <alignment horizontal="center" vertical="center"/>
    </xf>
    <xf numFmtId="10" fontId="7" fillId="60" borderId="51" xfId="0" applyNumberFormat="1" applyFont="1" applyFill="1" applyBorder="1" applyAlignment="1">
      <alignment horizontal="center" vertical="center"/>
    </xf>
    <xf numFmtId="10" fontId="7" fillId="129" borderId="51" xfId="0" applyNumberFormat="1" applyFont="1" applyFill="1" applyBorder="1" applyAlignment="1">
      <alignment horizontal="center" vertical="center"/>
    </xf>
    <xf numFmtId="10" fontId="7" fillId="137" borderId="51" xfId="0" applyNumberFormat="1" applyFont="1" applyFill="1" applyBorder="1" applyAlignment="1">
      <alignment horizontal="center" vertical="center"/>
    </xf>
    <xf numFmtId="10" fontId="7" fillId="163" borderId="51" xfId="0" applyNumberFormat="1" applyFont="1" applyFill="1" applyBorder="1" applyAlignment="1">
      <alignment horizontal="center" vertical="center"/>
    </xf>
    <xf numFmtId="10" fontId="7" fillId="76" borderId="51" xfId="0" applyNumberFormat="1" applyFont="1" applyFill="1" applyBorder="1" applyAlignment="1">
      <alignment horizontal="center" vertical="center"/>
    </xf>
    <xf numFmtId="10" fontId="7" fillId="63" borderId="51" xfId="0" applyNumberFormat="1" applyFont="1" applyFill="1" applyBorder="1" applyAlignment="1">
      <alignment horizontal="center" vertical="center"/>
    </xf>
    <xf numFmtId="10" fontId="7" fillId="182" borderId="51" xfId="0" applyNumberFormat="1" applyFont="1" applyFill="1" applyBorder="1" applyAlignment="1">
      <alignment horizontal="center" vertical="center"/>
    </xf>
    <xf numFmtId="10" fontId="7" fillId="181" borderId="51" xfId="0" applyNumberFormat="1" applyFont="1" applyFill="1" applyBorder="1" applyAlignment="1">
      <alignment horizontal="center" vertical="center"/>
    </xf>
    <xf numFmtId="10" fontId="7" fillId="37" borderId="51" xfId="0" applyNumberFormat="1" applyFont="1" applyFill="1" applyBorder="1" applyAlignment="1">
      <alignment horizontal="center" vertical="center"/>
    </xf>
    <xf numFmtId="10" fontId="7" fillId="165" borderId="51" xfId="0" applyNumberFormat="1" applyFont="1" applyFill="1" applyBorder="1" applyAlignment="1">
      <alignment horizontal="center" vertical="center"/>
    </xf>
    <xf numFmtId="10" fontId="7" fillId="179" borderId="51" xfId="0" applyNumberFormat="1" applyFont="1" applyFill="1" applyBorder="1" applyAlignment="1">
      <alignment horizontal="center" vertical="center"/>
    </xf>
    <xf numFmtId="10" fontId="7" fillId="180" borderId="51" xfId="0" applyNumberFormat="1" applyFont="1" applyFill="1" applyBorder="1" applyAlignment="1">
      <alignment horizontal="center" vertical="center"/>
    </xf>
    <xf numFmtId="10" fontId="7" fillId="172" borderId="51" xfId="0" applyNumberFormat="1" applyFont="1" applyFill="1" applyBorder="1" applyAlignment="1">
      <alignment horizontal="center" vertical="center"/>
    </xf>
    <xf numFmtId="10" fontId="7" fillId="25" borderId="51" xfId="0" applyNumberFormat="1" applyFont="1" applyFill="1" applyBorder="1" applyAlignment="1">
      <alignment horizontal="center" vertical="center"/>
    </xf>
    <xf numFmtId="10" fontId="7" fillId="173" borderId="51" xfId="0" applyNumberFormat="1" applyFont="1" applyFill="1" applyBorder="1" applyAlignment="1">
      <alignment horizontal="center" vertical="center"/>
    </xf>
    <xf numFmtId="10" fontId="7" fillId="123" borderId="51" xfId="0" applyNumberFormat="1" applyFont="1" applyFill="1" applyBorder="1" applyAlignment="1">
      <alignment horizontal="center" vertical="center"/>
    </xf>
    <xf numFmtId="10" fontId="7" fillId="174" borderId="51" xfId="0" applyNumberFormat="1" applyFont="1" applyFill="1" applyBorder="1" applyAlignment="1">
      <alignment horizontal="center" vertical="center"/>
    </xf>
    <xf numFmtId="10" fontId="7" fillId="167" borderId="51" xfId="0" applyNumberFormat="1" applyFont="1" applyFill="1" applyBorder="1" applyAlignment="1">
      <alignment horizontal="center" vertical="center"/>
    </xf>
    <xf numFmtId="10" fontId="7" fillId="175" borderId="51" xfId="0" applyNumberFormat="1" applyFont="1" applyFill="1" applyBorder="1" applyAlignment="1">
      <alignment horizontal="center" vertical="center"/>
    </xf>
    <xf numFmtId="10" fontId="7" fillId="176" borderId="51" xfId="0" applyNumberFormat="1" applyFont="1" applyFill="1" applyBorder="1" applyAlignment="1">
      <alignment horizontal="center" vertical="center"/>
    </xf>
    <xf numFmtId="10" fontId="7" fillId="177" borderId="51" xfId="0" applyNumberFormat="1" applyFont="1" applyFill="1" applyBorder="1" applyAlignment="1">
      <alignment horizontal="center" vertical="center"/>
    </xf>
    <xf numFmtId="10" fontId="7" fillId="178" borderId="51" xfId="0" applyNumberFormat="1" applyFont="1" applyFill="1" applyBorder="1" applyAlignment="1">
      <alignment horizontal="center" vertical="center"/>
    </xf>
    <xf numFmtId="10" fontId="7" fillId="136" borderId="51" xfId="0" applyNumberFormat="1" applyFont="1" applyFill="1" applyBorder="1" applyAlignment="1">
      <alignment horizontal="center" vertical="center"/>
    </xf>
    <xf numFmtId="10" fontId="7" fillId="119" borderId="51" xfId="0" applyNumberFormat="1" applyFont="1" applyFill="1" applyBorder="1" applyAlignment="1">
      <alignment horizontal="center" vertical="center"/>
    </xf>
    <xf numFmtId="10" fontId="7" fillId="170" borderId="51" xfId="0" applyNumberFormat="1" applyFont="1" applyFill="1" applyBorder="1" applyAlignment="1">
      <alignment horizontal="center" vertical="center"/>
    </xf>
    <xf numFmtId="10" fontId="7" fillId="171" borderId="51" xfId="0" applyNumberFormat="1" applyFont="1" applyFill="1" applyBorder="1" applyAlignment="1">
      <alignment horizontal="center" vertical="center"/>
    </xf>
    <xf numFmtId="10" fontId="7" fillId="36" borderId="51" xfId="0" applyNumberFormat="1" applyFont="1" applyFill="1" applyBorder="1" applyAlignment="1">
      <alignment horizontal="center" vertical="center"/>
    </xf>
    <xf numFmtId="10" fontId="7" fillId="112" borderId="51" xfId="0" applyNumberFormat="1" applyFont="1" applyFill="1" applyBorder="1" applyAlignment="1">
      <alignment horizontal="center" vertical="center"/>
    </xf>
    <xf numFmtId="10" fontId="7" fillId="57" borderId="51" xfId="0" applyNumberFormat="1" applyFont="1" applyFill="1" applyBorder="1" applyAlignment="1">
      <alignment horizontal="center" vertical="center"/>
    </xf>
    <xf numFmtId="10" fontId="7" fillId="113" borderId="51" xfId="0" applyNumberFormat="1" applyFont="1" applyFill="1" applyBorder="1" applyAlignment="1">
      <alignment horizontal="center" vertical="center"/>
    </xf>
    <xf numFmtId="10" fontId="7" fillId="26" borderId="51" xfId="0" applyNumberFormat="1" applyFont="1" applyFill="1" applyBorder="1" applyAlignment="1">
      <alignment horizontal="center" vertical="center"/>
    </xf>
    <xf numFmtId="10" fontId="7" fillId="53" borderId="51" xfId="0" applyNumberFormat="1" applyFont="1" applyFill="1" applyBorder="1" applyAlignment="1">
      <alignment horizontal="center" vertical="center"/>
    </xf>
    <xf numFmtId="10" fontId="7" fillId="8" borderId="51" xfId="0" applyNumberFormat="1" applyFont="1" applyFill="1" applyBorder="1" applyAlignment="1">
      <alignment horizontal="center" vertical="center"/>
    </xf>
    <xf numFmtId="10" fontId="7" fillId="7" borderId="51" xfId="0" applyNumberFormat="1" applyFont="1" applyFill="1" applyBorder="1" applyAlignment="1">
      <alignment horizontal="center" vertical="center"/>
    </xf>
    <xf numFmtId="10" fontId="7" fillId="127" borderId="51" xfId="0" applyNumberFormat="1" applyFont="1" applyFill="1" applyBorder="1" applyAlignment="1">
      <alignment horizontal="center" vertical="center"/>
    </xf>
    <xf numFmtId="10" fontId="7" fillId="30" borderId="51" xfId="0" applyNumberFormat="1" applyFont="1" applyFill="1" applyBorder="1" applyAlignment="1">
      <alignment horizontal="center" vertical="center"/>
    </xf>
    <xf numFmtId="10" fontId="7" fillId="166" borderId="51" xfId="0" applyNumberFormat="1" applyFont="1" applyFill="1" applyBorder="1" applyAlignment="1">
      <alignment horizontal="center" vertical="center"/>
    </xf>
    <xf numFmtId="10" fontId="7" fillId="168" borderId="51" xfId="0" applyNumberFormat="1" applyFont="1" applyFill="1" applyBorder="1" applyAlignment="1">
      <alignment horizontal="center" vertical="center"/>
    </xf>
    <xf numFmtId="10" fontId="7" fillId="45" borderId="51" xfId="0" applyNumberFormat="1" applyFont="1" applyFill="1" applyBorder="1" applyAlignment="1">
      <alignment horizontal="center" vertical="center"/>
    </xf>
    <xf numFmtId="10" fontId="7" fillId="10" borderId="51" xfId="0" applyNumberFormat="1" applyFont="1" applyFill="1" applyBorder="1" applyAlignment="1">
      <alignment horizontal="center" vertical="center"/>
    </xf>
    <xf numFmtId="10" fontId="7" fillId="138" borderId="51" xfId="0" applyNumberFormat="1" applyFont="1" applyFill="1" applyBorder="1" applyAlignment="1">
      <alignment horizontal="center" vertical="center"/>
    </xf>
    <xf numFmtId="10" fontId="7" fillId="169" borderId="51" xfId="0" applyNumberFormat="1" applyFont="1" applyFill="1" applyBorder="1" applyAlignment="1">
      <alignment horizontal="center" vertical="center"/>
    </xf>
    <xf numFmtId="10" fontId="7" fillId="105" borderId="51" xfId="0" applyNumberFormat="1" applyFont="1" applyFill="1" applyBorder="1" applyAlignment="1">
      <alignment horizontal="center" vertical="center"/>
    </xf>
    <xf numFmtId="10" fontId="7" fillId="22" borderId="51" xfId="0" applyNumberFormat="1" applyFont="1" applyFill="1" applyBorder="1" applyAlignment="1">
      <alignment horizontal="center" vertical="center"/>
    </xf>
    <xf numFmtId="10" fontId="7" fillId="54" borderId="51" xfId="0" applyNumberFormat="1" applyFont="1" applyFill="1" applyBorder="1" applyAlignment="1">
      <alignment horizontal="center" vertical="center"/>
    </xf>
    <xf numFmtId="10" fontId="7" fillId="114" borderId="51" xfId="0" applyNumberFormat="1" applyFont="1" applyFill="1" applyBorder="1" applyAlignment="1">
      <alignment horizontal="center" vertical="center"/>
    </xf>
    <xf numFmtId="10" fontId="7" fillId="162" borderId="51" xfId="0" applyNumberFormat="1" applyFont="1" applyFill="1" applyBorder="1" applyAlignment="1">
      <alignment horizontal="center" vertical="center"/>
    </xf>
    <xf numFmtId="10" fontId="7" fillId="51" borderId="51" xfId="0" applyNumberFormat="1" applyFont="1" applyFill="1" applyBorder="1" applyAlignment="1">
      <alignment horizontal="center" vertical="center"/>
    </xf>
    <xf numFmtId="10" fontId="7" fillId="164" borderId="51" xfId="0" applyNumberFormat="1" applyFont="1" applyFill="1" applyBorder="1" applyAlignment="1">
      <alignment horizontal="center" vertical="center"/>
    </xf>
    <xf numFmtId="10" fontId="7" fillId="161" borderId="51" xfId="0" applyNumberFormat="1" applyFont="1" applyFill="1" applyBorder="1" applyAlignment="1">
      <alignment horizontal="center" vertical="center"/>
    </xf>
    <xf numFmtId="10" fontId="7" fillId="118" borderId="51" xfId="0" applyNumberFormat="1" applyFont="1" applyFill="1" applyBorder="1" applyAlignment="1">
      <alignment horizontal="center" vertical="center"/>
    </xf>
    <xf numFmtId="10" fontId="7" fillId="158" borderId="51" xfId="0" applyNumberFormat="1" applyFont="1" applyFill="1" applyBorder="1" applyAlignment="1">
      <alignment horizontal="center" vertical="center"/>
    </xf>
    <xf numFmtId="10" fontId="7" fillId="96" borderId="51" xfId="0" applyNumberFormat="1" applyFont="1" applyFill="1" applyBorder="1" applyAlignment="1">
      <alignment horizontal="center" vertical="center"/>
    </xf>
    <xf numFmtId="10" fontId="7" fillId="50" borderId="51" xfId="0" applyNumberFormat="1" applyFont="1" applyFill="1" applyBorder="1" applyAlignment="1">
      <alignment horizontal="center" vertical="center"/>
    </xf>
    <xf numFmtId="10" fontId="7" fillId="80" borderId="51" xfId="0" applyNumberFormat="1" applyFont="1" applyFill="1" applyBorder="1" applyAlignment="1">
      <alignment horizontal="center" vertical="center"/>
    </xf>
    <xf numFmtId="10" fontId="7" fillId="79" borderId="51" xfId="0" applyNumberFormat="1" applyFont="1" applyFill="1" applyBorder="1" applyAlignment="1">
      <alignment horizontal="center" vertical="center"/>
    </xf>
    <xf numFmtId="10" fontId="7" fillId="18" borderId="51" xfId="0" applyNumberFormat="1" applyFont="1" applyFill="1" applyBorder="1" applyAlignment="1">
      <alignment horizontal="center" vertical="center"/>
    </xf>
    <xf numFmtId="10" fontId="7" fillId="4" borderId="51" xfId="0" applyNumberFormat="1" applyFont="1" applyFill="1" applyBorder="1" applyAlignment="1">
      <alignment horizontal="center" vertical="center"/>
    </xf>
    <xf numFmtId="10" fontId="7" fillId="159" borderId="51" xfId="0" applyNumberFormat="1" applyFont="1" applyFill="1" applyBorder="1" applyAlignment="1">
      <alignment horizontal="center" vertical="center"/>
    </xf>
    <xf numFmtId="10" fontId="7" fillId="160" borderId="51" xfId="0" applyNumberFormat="1" applyFont="1" applyFill="1" applyBorder="1" applyAlignment="1">
      <alignment horizontal="center" vertical="center"/>
    </xf>
    <xf numFmtId="10" fontId="7" fillId="155" borderId="51" xfId="0" applyNumberFormat="1" applyFont="1" applyFill="1" applyBorder="1" applyAlignment="1">
      <alignment horizontal="center" vertical="center"/>
    </xf>
    <xf numFmtId="10" fontId="7" fillId="97" borderId="51" xfId="0" applyNumberFormat="1" applyFont="1" applyFill="1" applyBorder="1" applyAlignment="1">
      <alignment horizontal="center" vertical="center"/>
    </xf>
    <xf numFmtId="10" fontId="7" fillId="156" borderId="51" xfId="0" applyNumberFormat="1" applyFont="1" applyFill="1" applyBorder="1" applyAlignment="1">
      <alignment horizontal="center" vertical="center"/>
    </xf>
    <xf numFmtId="10" fontId="7" fillId="59" borderId="51" xfId="0" applyNumberFormat="1" applyFont="1" applyFill="1" applyBorder="1" applyAlignment="1">
      <alignment horizontal="center" vertical="center"/>
    </xf>
    <xf numFmtId="10" fontId="7" fillId="157" borderId="51" xfId="0" applyNumberFormat="1" applyFont="1" applyFill="1" applyBorder="1" applyAlignment="1">
      <alignment horizontal="center" vertical="center"/>
    </xf>
    <xf numFmtId="10" fontId="7" fillId="87" borderId="51" xfId="0" applyNumberFormat="1" applyFont="1" applyFill="1" applyBorder="1" applyAlignment="1">
      <alignment horizontal="center" vertical="center"/>
    </xf>
    <xf numFmtId="10" fontId="7" fillId="62" borderId="51" xfId="0" applyNumberFormat="1" applyFont="1" applyFill="1" applyBorder="1" applyAlignment="1">
      <alignment horizontal="center" vertical="center"/>
    </xf>
    <xf numFmtId="10" fontId="7" fillId="150" borderId="51" xfId="0" applyNumberFormat="1" applyFont="1" applyFill="1" applyBorder="1" applyAlignment="1">
      <alignment horizontal="center" vertical="center"/>
    </xf>
    <xf numFmtId="10" fontId="7" fillId="40" borderId="51" xfId="0" applyNumberFormat="1" applyFont="1" applyFill="1" applyBorder="1" applyAlignment="1">
      <alignment horizontal="center" vertical="center"/>
    </xf>
    <xf numFmtId="10" fontId="7" fillId="151" borderId="51" xfId="0" applyNumberFormat="1" applyFont="1" applyFill="1" applyBorder="1" applyAlignment="1">
      <alignment horizontal="center" vertical="center"/>
    </xf>
    <xf numFmtId="10" fontId="7" fillId="29" borderId="51" xfId="0" applyNumberFormat="1" applyFont="1" applyFill="1" applyBorder="1" applyAlignment="1">
      <alignment horizontal="center" vertical="center"/>
    </xf>
    <xf numFmtId="10" fontId="7" fillId="39" borderId="51" xfId="0" applyNumberFormat="1" applyFont="1" applyFill="1" applyBorder="1" applyAlignment="1">
      <alignment horizontal="center" vertical="center"/>
    </xf>
    <xf numFmtId="10" fontId="7" fillId="152" borderId="51" xfId="0" applyNumberFormat="1" applyFont="1" applyFill="1" applyBorder="1" applyAlignment="1">
      <alignment horizontal="center" vertical="center"/>
    </xf>
    <xf numFmtId="10" fontId="7" fillId="153" borderId="51" xfId="0" applyNumberFormat="1" applyFont="1" applyFill="1" applyBorder="1" applyAlignment="1">
      <alignment horizontal="center" vertical="center"/>
    </xf>
    <xf numFmtId="10" fontId="7" fillId="103" borderId="51" xfId="0" applyNumberFormat="1" applyFont="1" applyFill="1" applyBorder="1" applyAlignment="1">
      <alignment horizontal="center" vertical="center"/>
    </xf>
    <xf numFmtId="10" fontId="7" fillId="58" borderId="51" xfId="0" applyNumberFormat="1" applyFont="1" applyFill="1" applyBorder="1" applyAlignment="1">
      <alignment horizontal="center" vertical="center"/>
    </xf>
    <xf numFmtId="10" fontId="7" fillId="102" borderId="51" xfId="0" applyNumberFormat="1" applyFont="1" applyFill="1" applyBorder="1" applyAlignment="1">
      <alignment horizontal="center" vertical="center"/>
    </xf>
    <xf numFmtId="10" fontId="7" fillId="130" borderId="51" xfId="0" applyNumberFormat="1" applyFont="1" applyFill="1" applyBorder="1" applyAlignment="1">
      <alignment horizontal="center" vertical="center"/>
    </xf>
    <xf numFmtId="10" fontId="7" fillId="148" borderId="51" xfId="0" applyNumberFormat="1" applyFont="1" applyFill="1" applyBorder="1" applyAlignment="1">
      <alignment horizontal="center" vertical="center"/>
    </xf>
    <xf numFmtId="10" fontId="7" fillId="16" borderId="51" xfId="0" applyNumberFormat="1" applyFont="1" applyFill="1" applyBorder="1" applyAlignment="1">
      <alignment horizontal="center" vertical="center"/>
    </xf>
    <xf numFmtId="10" fontId="7" fillId="149" borderId="51" xfId="0" applyNumberFormat="1" applyFont="1" applyFill="1" applyBorder="1" applyAlignment="1">
      <alignment horizontal="center" vertical="center"/>
    </xf>
    <xf numFmtId="10" fontId="7" fillId="143" borderId="51" xfId="0" applyNumberFormat="1" applyFont="1" applyFill="1" applyBorder="1" applyAlignment="1">
      <alignment horizontal="center" vertical="center"/>
    </xf>
    <xf numFmtId="10" fontId="7" fillId="42" borderId="51" xfId="0" applyNumberFormat="1" applyFont="1" applyFill="1" applyBorder="1" applyAlignment="1">
      <alignment horizontal="center" vertical="center"/>
    </xf>
    <xf numFmtId="10" fontId="7" fillId="140" borderId="51" xfId="0" applyNumberFormat="1" applyFont="1" applyFill="1" applyBorder="1" applyAlignment="1">
      <alignment horizontal="center" vertical="center"/>
    </xf>
    <xf numFmtId="10" fontId="7" fillId="11" borderId="51" xfId="0" applyNumberFormat="1" applyFont="1" applyFill="1" applyBorder="1" applyAlignment="1">
      <alignment horizontal="center" vertical="center"/>
    </xf>
    <xf numFmtId="10" fontId="7" fillId="147" borderId="51" xfId="0" applyNumberFormat="1" applyFont="1" applyFill="1" applyBorder="1" applyAlignment="1">
      <alignment horizontal="center" vertical="center"/>
    </xf>
    <xf numFmtId="10" fontId="7" fillId="133" borderId="51" xfId="0" applyNumberFormat="1" applyFont="1" applyFill="1" applyBorder="1" applyAlignment="1">
      <alignment horizontal="center" vertical="center"/>
    </xf>
    <xf numFmtId="10" fontId="7" fillId="122" borderId="51" xfId="0" applyNumberFormat="1" applyFont="1" applyFill="1" applyBorder="1" applyAlignment="1">
      <alignment horizontal="center" vertical="center"/>
    </xf>
    <xf numFmtId="10" fontId="7" fillId="145" borderId="51" xfId="0" applyNumberFormat="1" applyFont="1" applyFill="1" applyBorder="1" applyAlignment="1">
      <alignment horizontal="center" vertical="center"/>
    </xf>
    <xf numFmtId="10" fontId="7" fillId="146" borderId="51" xfId="0" applyNumberFormat="1" applyFont="1" applyFill="1" applyBorder="1" applyAlignment="1">
      <alignment horizontal="center" vertical="center"/>
    </xf>
    <xf numFmtId="10" fontId="7" fillId="46" borderId="51" xfId="0" applyNumberFormat="1" applyFont="1" applyFill="1" applyBorder="1" applyAlignment="1">
      <alignment horizontal="center" vertical="center"/>
    </xf>
    <xf numFmtId="10" fontId="7" fillId="144" borderId="51" xfId="0" applyNumberFormat="1" applyFont="1" applyFill="1" applyBorder="1" applyAlignment="1">
      <alignment horizontal="center" vertical="center"/>
    </xf>
    <xf numFmtId="10" fontId="7" fillId="142" borderId="51" xfId="0" applyNumberFormat="1" applyFont="1" applyFill="1" applyBorder="1" applyAlignment="1">
      <alignment horizontal="center" vertical="center"/>
    </xf>
    <xf numFmtId="10" fontId="7" fillId="141" borderId="51" xfId="0" applyNumberFormat="1" applyFont="1" applyFill="1" applyBorder="1" applyAlignment="1">
      <alignment horizontal="center" vertical="center"/>
    </xf>
    <xf numFmtId="10" fontId="7" fillId="139" borderId="51" xfId="0" applyNumberFormat="1" applyFont="1" applyFill="1" applyBorder="1" applyAlignment="1">
      <alignment horizontal="center" vertical="center"/>
    </xf>
    <xf numFmtId="10" fontId="7" fillId="27" borderId="51" xfId="0" applyNumberFormat="1" applyFont="1" applyFill="1" applyBorder="1" applyAlignment="1">
      <alignment horizontal="center" vertical="center"/>
    </xf>
    <xf numFmtId="10" fontId="7" fillId="135" borderId="51" xfId="0" applyNumberFormat="1" applyFont="1" applyFill="1" applyBorder="1" applyAlignment="1">
      <alignment horizontal="center" vertical="center"/>
    </xf>
    <xf numFmtId="10" fontId="7" fillId="134" borderId="51" xfId="0" applyNumberFormat="1" applyFont="1" applyFill="1" applyBorder="1" applyAlignment="1">
      <alignment horizontal="center" vertical="center"/>
    </xf>
    <xf numFmtId="10" fontId="7" fillId="126" borderId="51" xfId="0" applyNumberFormat="1" applyFont="1" applyFill="1" applyBorder="1" applyAlignment="1">
      <alignment horizontal="center" vertical="center"/>
    </xf>
    <xf numFmtId="10" fontId="7" fillId="82" borderId="51" xfId="0" applyNumberFormat="1" applyFont="1" applyFill="1" applyBorder="1" applyAlignment="1">
      <alignment horizontal="center" vertical="center"/>
    </xf>
    <xf numFmtId="10" fontId="7" fillId="128" borderId="51" xfId="0" applyNumberFormat="1" applyFont="1" applyFill="1" applyBorder="1" applyAlignment="1">
      <alignment horizontal="center" vertical="center"/>
    </xf>
    <xf numFmtId="10" fontId="7" fillId="117" borderId="51" xfId="0" applyNumberFormat="1" applyFont="1" applyFill="1" applyBorder="1" applyAlignment="1">
      <alignment horizontal="center" vertical="center"/>
    </xf>
    <xf numFmtId="10" fontId="7" fillId="131" borderId="51" xfId="0" applyNumberFormat="1" applyFont="1" applyFill="1" applyBorder="1" applyAlignment="1">
      <alignment horizontal="center" vertical="center"/>
    </xf>
    <xf numFmtId="10" fontId="7" fillId="132" borderId="51" xfId="0" applyNumberFormat="1" applyFont="1" applyFill="1" applyBorder="1" applyAlignment="1">
      <alignment horizontal="center" vertical="center"/>
    </xf>
    <xf numFmtId="10" fontId="7" fillId="70" borderId="51" xfId="0" applyNumberFormat="1" applyFont="1" applyFill="1" applyBorder="1" applyAlignment="1">
      <alignment horizontal="center" vertical="center"/>
    </xf>
    <xf numFmtId="10" fontId="7" fillId="116" borderId="51" xfId="0" applyNumberFormat="1" applyFont="1" applyFill="1" applyBorder="1" applyAlignment="1">
      <alignment horizontal="center" vertical="center"/>
    </xf>
    <xf numFmtId="0" fontId="7" fillId="5" borderId="51" xfId="0" applyFont="1" applyFill="1" applyBorder="1" applyAlignment="1">
      <alignment horizontal="center"/>
    </xf>
    <xf numFmtId="0" fontId="7" fillId="5" borderId="51" xfId="0" applyFont="1" applyFill="1" applyBorder="1" applyAlignment="1">
      <alignment horizontal="center" wrapText="1"/>
    </xf>
    <xf numFmtId="10" fontId="7" fillId="56" borderId="51" xfId="0" applyNumberFormat="1" applyFont="1" applyFill="1" applyBorder="1" applyAlignment="1">
      <alignment horizontal="center" vertical="center"/>
    </xf>
    <xf numFmtId="10" fontId="7" fillId="34" borderId="51" xfId="0" applyNumberFormat="1" applyFont="1" applyFill="1" applyBorder="1" applyAlignment="1">
      <alignment horizontal="center" vertical="center"/>
    </xf>
    <xf numFmtId="10" fontId="7" fillId="125" borderId="51" xfId="0" applyNumberFormat="1" applyFont="1" applyFill="1" applyBorder="1" applyAlignment="1">
      <alignment horizontal="center" vertical="center"/>
    </xf>
    <xf numFmtId="10" fontId="7" fillId="124" borderId="51" xfId="0" applyNumberFormat="1" applyFont="1" applyFill="1" applyBorder="1" applyAlignment="1">
      <alignment horizontal="center" vertical="center"/>
    </xf>
    <xf numFmtId="10" fontId="7" fillId="120" borderId="51" xfId="0" applyNumberFormat="1" applyFont="1" applyFill="1" applyBorder="1" applyAlignment="1">
      <alignment horizontal="center" vertical="center"/>
    </xf>
    <xf numFmtId="10" fontId="7" fillId="121" borderId="51" xfId="0" applyNumberFormat="1" applyFont="1" applyFill="1" applyBorder="1" applyAlignment="1">
      <alignment horizontal="center" vertical="center"/>
    </xf>
    <xf numFmtId="10" fontId="7" fillId="72" borderId="51" xfId="0" applyNumberFormat="1" applyFont="1" applyFill="1" applyBorder="1" applyAlignment="1">
      <alignment horizontal="center" vertical="center"/>
    </xf>
    <xf numFmtId="10" fontId="7" fillId="115" borderId="51" xfId="0" applyNumberFormat="1" applyFont="1" applyFill="1" applyBorder="1" applyAlignment="1">
      <alignment horizontal="center" vertical="center"/>
    </xf>
    <xf numFmtId="10" fontId="7" fillId="106" borderId="51" xfId="0" applyNumberFormat="1" applyFont="1" applyFill="1" applyBorder="1" applyAlignment="1">
      <alignment horizontal="center" vertical="center"/>
    </xf>
    <xf numFmtId="10" fontId="7" fillId="107" borderId="51" xfId="0" applyNumberFormat="1" applyFont="1" applyFill="1" applyBorder="1" applyAlignment="1">
      <alignment horizontal="center" vertical="center"/>
    </xf>
    <xf numFmtId="10" fontId="7" fillId="108" borderId="51" xfId="0" applyNumberFormat="1" applyFont="1" applyFill="1" applyBorder="1" applyAlignment="1">
      <alignment horizontal="center" vertical="center"/>
    </xf>
    <xf numFmtId="10" fontId="7" fillId="109" borderId="51" xfId="0" applyNumberFormat="1" applyFont="1" applyFill="1" applyBorder="1" applyAlignment="1">
      <alignment horizontal="center" vertical="center"/>
    </xf>
    <xf numFmtId="10" fontId="7" fillId="110" borderId="51" xfId="0" applyNumberFormat="1" applyFont="1" applyFill="1" applyBorder="1" applyAlignment="1">
      <alignment horizontal="center" vertical="center"/>
    </xf>
    <xf numFmtId="10" fontId="7" fillId="111" borderId="51" xfId="0" applyNumberFormat="1" applyFont="1" applyFill="1" applyBorder="1" applyAlignment="1">
      <alignment horizontal="center" vertical="center"/>
    </xf>
    <xf numFmtId="10" fontId="7" fillId="98" borderId="51" xfId="0" applyNumberFormat="1" applyFont="1" applyFill="1" applyBorder="1" applyAlignment="1">
      <alignment horizontal="center" vertical="center"/>
    </xf>
    <xf numFmtId="10" fontId="7" fillId="99" borderId="51" xfId="0" applyNumberFormat="1" applyFont="1" applyFill="1" applyBorder="1" applyAlignment="1">
      <alignment horizontal="center" vertical="center"/>
    </xf>
    <xf numFmtId="10" fontId="7" fillId="100" borderId="51" xfId="0" applyNumberFormat="1" applyFont="1" applyFill="1" applyBorder="1" applyAlignment="1">
      <alignment horizontal="center" vertical="center"/>
    </xf>
    <xf numFmtId="10" fontId="7" fillId="101" borderId="51" xfId="0" applyNumberFormat="1" applyFont="1" applyFill="1" applyBorder="1" applyAlignment="1">
      <alignment horizontal="center" vertical="center"/>
    </xf>
    <xf numFmtId="10" fontId="7" fillId="19" borderId="51" xfId="0" applyNumberFormat="1" applyFont="1" applyFill="1" applyBorder="1" applyAlignment="1">
      <alignment horizontal="center" vertical="center"/>
    </xf>
    <xf numFmtId="10" fontId="7" fillId="12" borderId="51" xfId="0" applyNumberFormat="1" applyFont="1" applyFill="1" applyBorder="1" applyAlignment="1">
      <alignment horizontal="center" vertical="center"/>
    </xf>
    <xf numFmtId="10" fontId="7" fillId="90" borderId="51" xfId="0" applyNumberFormat="1" applyFont="1" applyFill="1" applyBorder="1" applyAlignment="1">
      <alignment horizontal="center" vertical="center"/>
    </xf>
    <xf numFmtId="10" fontId="7" fillId="104" borderId="51" xfId="0" applyNumberFormat="1" applyFont="1" applyFill="1" applyBorder="1" applyAlignment="1">
      <alignment horizontal="center" vertical="center"/>
    </xf>
    <xf numFmtId="10" fontId="7" fillId="83" borderId="51" xfId="0" applyNumberFormat="1" applyFont="1" applyFill="1" applyBorder="1" applyAlignment="1">
      <alignment horizontal="center" vertical="center"/>
    </xf>
    <xf numFmtId="10" fontId="7" fillId="84" borderId="51" xfId="0" applyNumberFormat="1" applyFont="1" applyFill="1" applyBorder="1" applyAlignment="1">
      <alignment horizontal="center" vertical="center"/>
    </xf>
    <xf numFmtId="10" fontId="7" fillId="85" borderId="51" xfId="0" applyNumberFormat="1" applyFont="1" applyFill="1" applyBorder="1" applyAlignment="1">
      <alignment horizontal="center" vertical="center"/>
    </xf>
    <xf numFmtId="10" fontId="7" fillId="86" borderId="51" xfId="0" applyNumberFormat="1" applyFont="1" applyFill="1" applyBorder="1" applyAlignment="1">
      <alignment horizontal="center" vertical="center"/>
    </xf>
    <xf numFmtId="10" fontId="7" fillId="23" borderId="51" xfId="0" applyNumberFormat="1" applyFont="1" applyFill="1" applyBorder="1" applyAlignment="1">
      <alignment horizontal="center" vertical="center"/>
    </xf>
    <xf numFmtId="10" fontId="7" fillId="89" borderId="51" xfId="0" applyNumberFormat="1" applyFont="1" applyFill="1" applyBorder="1" applyAlignment="1">
      <alignment horizontal="center" vertical="center"/>
    </xf>
    <xf numFmtId="10" fontId="7" fillId="91" borderId="51" xfId="0" applyNumberFormat="1" applyFont="1" applyFill="1" applyBorder="1" applyAlignment="1">
      <alignment horizontal="center" vertical="center"/>
    </xf>
    <xf numFmtId="10" fontId="7" fillId="92" borderId="51" xfId="0" applyNumberFormat="1" applyFont="1" applyFill="1" applyBorder="1" applyAlignment="1">
      <alignment horizontal="center" vertical="center"/>
    </xf>
    <xf numFmtId="10" fontId="7" fillId="75" borderId="51" xfId="0" applyNumberFormat="1" applyFont="1" applyFill="1" applyBorder="1" applyAlignment="1">
      <alignment horizontal="center" vertical="center"/>
    </xf>
    <xf numFmtId="10" fontId="7" fillId="94" borderId="51" xfId="0" applyNumberFormat="1" applyFont="1" applyFill="1" applyBorder="1" applyAlignment="1">
      <alignment horizontal="center" vertical="center"/>
    </xf>
    <xf numFmtId="10" fontId="7" fillId="95" borderId="51" xfId="0" applyNumberFormat="1" applyFont="1" applyFill="1" applyBorder="1" applyAlignment="1">
      <alignment horizontal="center" vertical="center"/>
    </xf>
    <xf numFmtId="10" fontId="7" fillId="81" borderId="51" xfId="0" applyNumberFormat="1" applyFont="1" applyFill="1" applyBorder="1" applyAlignment="1">
      <alignment horizontal="center" vertical="center"/>
    </xf>
    <xf numFmtId="10" fontId="7" fillId="69" borderId="51" xfId="0" applyNumberFormat="1" applyFont="1" applyFill="1" applyBorder="1" applyAlignment="1">
      <alignment horizontal="center" vertical="center"/>
    </xf>
    <xf numFmtId="10" fontId="7" fillId="71" borderId="51" xfId="0" applyNumberFormat="1" applyFont="1" applyFill="1" applyBorder="1" applyAlignment="1">
      <alignment horizontal="center" vertical="center"/>
    </xf>
    <xf numFmtId="10" fontId="7" fillId="28" borderId="51" xfId="0" applyNumberFormat="1" applyFont="1" applyFill="1" applyBorder="1" applyAlignment="1">
      <alignment horizontal="center" vertical="center"/>
    </xf>
    <xf numFmtId="10" fontId="7" fillId="73" borderId="51" xfId="0" applyNumberFormat="1" applyFont="1" applyFill="1" applyBorder="1" applyAlignment="1">
      <alignment horizontal="center" vertical="center"/>
    </xf>
    <xf numFmtId="10" fontId="7" fillId="74" borderId="51" xfId="0" applyNumberFormat="1" applyFont="1" applyFill="1" applyBorder="1" applyAlignment="1">
      <alignment horizontal="center" vertical="center"/>
    </xf>
    <xf numFmtId="10" fontId="7" fillId="77" borderId="51" xfId="0" applyNumberFormat="1" applyFont="1" applyFill="1" applyBorder="1" applyAlignment="1">
      <alignment horizontal="center" vertical="center"/>
    </xf>
    <xf numFmtId="10" fontId="7" fillId="78" borderId="51" xfId="0" applyNumberFormat="1" applyFont="1" applyFill="1" applyBorder="1" applyAlignment="1">
      <alignment horizontal="center" vertical="center"/>
    </xf>
    <xf numFmtId="10" fontId="7" fillId="44" borderId="51" xfId="0" applyNumberFormat="1" applyFont="1" applyFill="1" applyBorder="1" applyAlignment="1">
      <alignment horizontal="center" vertical="center"/>
    </xf>
    <xf numFmtId="10" fontId="7" fillId="61" borderId="51" xfId="0" applyNumberFormat="1" applyFont="1" applyFill="1" applyBorder="1" applyAlignment="1">
      <alignment horizontal="center" vertical="center"/>
    </xf>
    <xf numFmtId="10" fontId="7" fillId="6" borderId="51" xfId="0" applyNumberFormat="1" applyFont="1" applyFill="1" applyBorder="1" applyAlignment="1">
      <alignment horizontal="center" vertical="center"/>
    </xf>
    <xf numFmtId="10" fontId="7" fillId="64" borderId="51" xfId="0" applyNumberFormat="1" applyFont="1" applyFill="1" applyBorder="1" applyAlignment="1">
      <alignment horizontal="center" vertical="center"/>
    </xf>
    <xf numFmtId="10" fontId="7" fillId="65" borderId="51" xfId="0" applyNumberFormat="1" applyFont="1" applyFill="1" applyBorder="1" applyAlignment="1">
      <alignment horizontal="center" vertical="center"/>
    </xf>
    <xf numFmtId="10" fontId="7" fillId="66" borderId="51" xfId="0" applyNumberFormat="1" applyFont="1" applyFill="1" applyBorder="1" applyAlignment="1">
      <alignment horizontal="center" vertical="center"/>
    </xf>
    <xf numFmtId="10" fontId="7" fillId="67" borderId="51" xfId="0" applyNumberFormat="1" applyFont="1" applyFill="1" applyBorder="1" applyAlignment="1">
      <alignment horizontal="center" vertical="center"/>
    </xf>
    <xf numFmtId="10" fontId="7" fillId="48" borderId="51" xfId="0" applyNumberFormat="1" applyFont="1" applyFill="1" applyBorder="1" applyAlignment="1">
      <alignment horizontal="center" vertical="center"/>
    </xf>
    <xf numFmtId="10" fontId="7" fillId="49" borderId="51" xfId="0" applyNumberFormat="1" applyFont="1" applyFill="1" applyBorder="1" applyAlignment="1">
      <alignment horizontal="center" vertical="center"/>
    </xf>
    <xf numFmtId="10" fontId="7" fillId="32" borderId="51" xfId="0" applyNumberFormat="1" applyFont="1" applyFill="1" applyBorder="1" applyAlignment="1">
      <alignment horizontal="center" vertical="center"/>
    </xf>
    <xf numFmtId="10" fontId="7" fillId="52" borderId="51" xfId="0" applyNumberFormat="1" applyFont="1" applyFill="1" applyBorder="1" applyAlignment="1">
      <alignment horizontal="center" vertical="center"/>
    </xf>
    <xf numFmtId="10" fontId="7" fillId="55" borderId="51" xfId="0" applyNumberFormat="1" applyFont="1" applyFill="1" applyBorder="1" applyAlignment="1">
      <alignment horizontal="center" vertical="center"/>
    </xf>
    <xf numFmtId="10" fontId="7" fillId="38" borderId="51" xfId="0" applyNumberFormat="1" applyFont="1" applyFill="1" applyBorder="1" applyAlignment="1">
      <alignment horizontal="center" vertical="center"/>
    </xf>
    <xf numFmtId="10" fontId="7" fillId="41" borderId="51" xfId="0" applyNumberFormat="1" applyFont="1" applyFill="1" applyBorder="1" applyAlignment="1">
      <alignment horizontal="center" vertical="center"/>
    </xf>
    <xf numFmtId="10" fontId="7" fillId="43" borderId="51" xfId="0" applyNumberFormat="1" applyFont="1" applyFill="1" applyBorder="1" applyAlignment="1">
      <alignment horizontal="center" vertical="center"/>
    </xf>
    <xf numFmtId="10" fontId="7" fillId="35" borderId="51" xfId="0" applyNumberFormat="1" applyFont="1" applyFill="1" applyBorder="1" applyAlignment="1">
      <alignment horizontal="center" vertical="center"/>
    </xf>
    <xf numFmtId="10" fontId="7" fillId="31" borderId="51" xfId="0" applyNumberFormat="1" applyFont="1" applyFill="1" applyBorder="1" applyAlignment="1">
      <alignment horizontal="center" vertical="center"/>
    </xf>
    <xf numFmtId="10" fontId="7" fillId="33" borderId="51" xfId="0" applyNumberFormat="1" applyFont="1" applyFill="1" applyBorder="1" applyAlignment="1">
      <alignment horizontal="center" vertical="center"/>
    </xf>
    <xf numFmtId="10" fontId="7" fillId="24" borderId="51" xfId="0" applyNumberFormat="1" applyFont="1" applyFill="1" applyBorder="1" applyAlignment="1">
      <alignment horizontal="center" vertical="center"/>
    </xf>
    <xf numFmtId="10" fontId="7" fillId="21" borderId="51" xfId="0" applyNumberFormat="1" applyFont="1" applyFill="1" applyBorder="1" applyAlignment="1">
      <alignment horizontal="center" vertical="center"/>
    </xf>
    <xf numFmtId="10" fontId="7" fillId="20" borderId="51" xfId="0" applyNumberFormat="1" applyFont="1" applyFill="1" applyBorder="1" applyAlignment="1">
      <alignment horizontal="center" vertical="center"/>
    </xf>
    <xf numFmtId="10" fontId="7" fillId="17" borderId="51" xfId="0" applyNumberFormat="1" applyFont="1" applyFill="1" applyBorder="1" applyAlignment="1">
      <alignment horizontal="center" vertical="center"/>
    </xf>
    <xf numFmtId="10" fontId="7" fillId="15" borderId="51" xfId="0" applyNumberFormat="1" applyFont="1" applyFill="1" applyBorder="1" applyAlignment="1">
      <alignment horizontal="center" vertical="center"/>
    </xf>
    <xf numFmtId="10" fontId="7" fillId="14" borderId="51" xfId="0" applyNumberFormat="1" applyFont="1" applyFill="1" applyBorder="1" applyAlignment="1">
      <alignment horizontal="center" vertical="center"/>
    </xf>
    <xf numFmtId="10" fontId="7" fillId="13" borderId="51" xfId="0" applyNumberFormat="1" applyFont="1" applyFill="1" applyBorder="1" applyAlignment="1">
      <alignment horizontal="center" vertical="center"/>
    </xf>
    <xf numFmtId="10" fontId="7" fillId="9" borderId="51" xfId="0" applyNumberFormat="1" applyFont="1" applyFill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13" fillId="0" borderId="54" xfId="1" applyFont="1" applyBorder="1" applyAlignment="1">
      <alignment horizontal="center"/>
    </xf>
    <xf numFmtId="164" fontId="7" fillId="0" borderId="54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0" fontId="7" fillId="7" borderId="54" xfId="0" applyNumberFormat="1" applyFont="1" applyFill="1" applyBorder="1" applyAlignment="1">
      <alignment horizontal="center" vertical="center"/>
    </xf>
    <xf numFmtId="10" fontId="7" fillId="4" borderId="54" xfId="0" applyNumberFormat="1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/>
    </xf>
    <xf numFmtId="0" fontId="7" fillId="0" borderId="54" xfId="0" applyFont="1" applyBorder="1" applyAlignment="1">
      <alignment horizontal="center" wrapText="1"/>
    </xf>
    <xf numFmtId="10" fontId="7" fillId="11" borderId="54" xfId="0" applyNumberFormat="1" applyFont="1" applyFill="1" applyBorder="1" applyAlignment="1">
      <alignment horizontal="center" vertical="center"/>
    </xf>
    <xf numFmtId="0" fontId="13" fillId="5" borderId="53" xfId="1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/>
    </xf>
    <xf numFmtId="164" fontId="7" fillId="5" borderId="54" xfId="0" applyNumberFormat="1" applyFont="1" applyFill="1" applyBorder="1" applyAlignment="1">
      <alignment horizontal="center" vertical="center"/>
    </xf>
    <xf numFmtId="14" fontId="7" fillId="5" borderId="54" xfId="0" applyNumberFormat="1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164" fontId="14" fillId="5" borderId="30" xfId="0" applyNumberFormat="1" applyFont="1" applyFill="1" applyBorder="1" applyAlignment="1">
      <alignment horizontal="center" vertical="center"/>
    </xf>
    <xf numFmtId="14" fontId="14" fillId="5" borderId="32" xfId="0" applyNumberFormat="1" applyFont="1" applyFill="1" applyBorder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10" fontId="14" fillId="4" borderId="15" xfId="0" applyNumberFormat="1" applyFont="1" applyFill="1" applyBorder="1" applyAlignment="1">
      <alignment horizontal="center" vertical="center"/>
    </xf>
    <xf numFmtId="0" fontId="13" fillId="0" borderId="0" xfId="1" applyFont="1"/>
    <xf numFmtId="3" fontId="5" fillId="0" borderId="2" xfId="0" applyNumberFormat="1" applyFont="1" applyBorder="1" applyAlignment="1">
      <alignment horizontal="center" vertical="center"/>
    </xf>
    <xf numFmtId="3" fontId="12" fillId="0" borderId="51" xfId="0" applyNumberFormat="1" applyFont="1" applyBorder="1" applyAlignment="1">
      <alignment horizontal="center" vertical="center"/>
    </xf>
    <xf numFmtId="3" fontId="7" fillId="0" borderId="48" xfId="0" applyNumberFormat="1" applyFont="1" applyBorder="1" applyAlignment="1">
      <alignment horizontal="center"/>
    </xf>
    <xf numFmtId="3" fontId="7" fillId="0" borderId="51" xfId="0" applyNumberFormat="1" applyFont="1" applyBorder="1" applyAlignment="1">
      <alignment horizontal="center"/>
    </xf>
    <xf numFmtId="3" fontId="7" fillId="5" borderId="51" xfId="0" applyNumberFormat="1" applyFont="1" applyFill="1" applyBorder="1" applyAlignment="1">
      <alignment horizontal="center"/>
    </xf>
    <xf numFmtId="3" fontId="0" fillId="0" borderId="0" xfId="0" applyNumberFormat="1"/>
    <xf numFmtId="10" fontId="0" fillId="0" borderId="0" xfId="0" applyNumberFormat="1"/>
    <xf numFmtId="0" fontId="13" fillId="0" borderId="0" xfId="1" applyFont="1" applyAlignment="1">
      <alignment horizontal="center"/>
    </xf>
    <xf numFmtId="0" fontId="2" fillId="183" borderId="31" xfId="0" applyFont="1" applyFill="1" applyBorder="1" applyAlignment="1">
      <alignment horizontal="center" vertical="center"/>
    </xf>
    <xf numFmtId="0" fontId="2" fillId="184" borderId="30" xfId="0" applyFont="1" applyFill="1" applyBorder="1" applyAlignment="1">
      <alignment horizontal="center" vertical="center"/>
    </xf>
    <xf numFmtId="0" fontId="2" fillId="184" borderId="31" xfId="0" applyFont="1" applyFill="1" applyBorder="1" applyAlignment="1">
      <alignment horizontal="center" vertical="center"/>
    </xf>
    <xf numFmtId="0" fontId="12" fillId="0" borderId="50" xfId="0" quotePrefix="1" applyFont="1" applyBorder="1" applyAlignment="1">
      <alignment horizontal="center" vertical="center"/>
    </xf>
    <xf numFmtId="0" fontId="14" fillId="184" borderId="30" xfId="0" applyFont="1" applyFill="1" applyBorder="1" applyAlignment="1">
      <alignment horizontal="center" vertical="center"/>
    </xf>
    <xf numFmtId="165" fontId="7" fillId="0" borderId="54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/>
    </xf>
    <xf numFmtId="10" fontId="3" fillId="4" borderId="6" xfId="0" applyNumberFormat="1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3" fontId="3" fillId="0" borderId="16" xfId="0" applyNumberFormat="1" applyFont="1" applyBorder="1" applyAlignment="1">
      <alignment vertical="center"/>
    </xf>
    <xf numFmtId="3" fontId="3" fillId="0" borderId="20" xfId="0" applyNumberFormat="1" applyFont="1" applyBorder="1" applyAlignment="1">
      <alignment vertical="center"/>
    </xf>
    <xf numFmtId="10" fontId="3" fillId="4" borderId="16" xfId="0" applyNumberFormat="1" applyFont="1" applyFill="1" applyBorder="1" applyAlignment="1">
      <alignment vertical="center"/>
    </xf>
    <xf numFmtId="0" fontId="0" fillId="0" borderId="63" xfId="0" applyBorder="1"/>
    <xf numFmtId="0" fontId="0" fillId="188" borderId="0" xfId="0" applyFill="1"/>
    <xf numFmtId="14" fontId="12" fillId="0" borderId="51" xfId="0" applyNumberFormat="1" applyFont="1" applyBorder="1" applyAlignment="1">
      <alignment horizontal="center" vertical="center"/>
    </xf>
    <xf numFmtId="14" fontId="7" fillId="0" borderId="48" xfId="0" applyNumberFormat="1" applyFont="1" applyBorder="1" applyAlignment="1">
      <alignment horizontal="center"/>
    </xf>
    <xf numFmtId="14" fontId="7" fillId="0" borderId="51" xfId="0" applyNumberFormat="1" applyFont="1" applyBorder="1" applyAlignment="1">
      <alignment horizontal="center"/>
    </xf>
    <xf numFmtId="14" fontId="7" fillId="0" borderId="51" xfId="0" applyNumberFormat="1" applyFont="1" applyBorder="1" applyAlignment="1">
      <alignment horizontal="center" vertical="center"/>
    </xf>
    <xf numFmtId="165" fontId="12" fillId="0" borderId="51" xfId="0" applyNumberFormat="1" applyFont="1" applyBorder="1" applyAlignment="1">
      <alignment horizontal="center" vertical="center"/>
    </xf>
    <xf numFmtId="165" fontId="7" fillId="0" borderId="48" xfId="0" applyNumberFormat="1" applyFont="1" applyBorder="1" applyAlignment="1">
      <alignment horizontal="center"/>
    </xf>
    <xf numFmtId="165" fontId="7" fillId="0" borderId="51" xfId="0" applyNumberFormat="1" applyFont="1" applyBorder="1" applyAlignment="1">
      <alignment horizontal="center"/>
    </xf>
    <xf numFmtId="165" fontId="7" fillId="0" borderId="51" xfId="0" applyNumberFormat="1" applyFont="1" applyBorder="1" applyAlignment="1">
      <alignment horizontal="center" vertical="center"/>
    </xf>
    <xf numFmtId="165" fontId="14" fillId="0" borderId="8" xfId="0" applyNumberFormat="1" applyFont="1" applyBorder="1" applyAlignment="1">
      <alignment horizontal="center" vertical="center"/>
    </xf>
    <xf numFmtId="14" fontId="14" fillId="0" borderId="9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6" fillId="5" borderId="33" xfId="1" applyFill="1" applyBorder="1" applyAlignment="1">
      <alignment horizontal="center" vertical="center"/>
    </xf>
    <xf numFmtId="0" fontId="6" fillId="0" borderId="31" xfId="1" applyBorder="1" applyAlignment="1">
      <alignment horizontal="center"/>
    </xf>
    <xf numFmtId="14" fontId="14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5" borderId="31" xfId="0" applyFont="1" applyFill="1" applyBorder="1" applyAlignment="1">
      <alignment horizontal="center" vertical="center"/>
    </xf>
    <xf numFmtId="0" fontId="2" fillId="183" borderId="30" xfId="0" applyFont="1" applyFill="1" applyBorder="1" applyAlignment="1">
      <alignment horizontal="center" vertical="center"/>
    </xf>
    <xf numFmtId="0" fontId="14" fillId="184" borderId="3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1"/>
    <xf numFmtId="0" fontId="0" fillId="0" borderId="2" xfId="0" applyBorder="1"/>
    <xf numFmtId="0" fontId="0" fillId="0" borderId="6" xfId="0" applyBorder="1"/>
    <xf numFmtId="0" fontId="0" fillId="0" borderId="31" xfId="0" applyBorder="1"/>
    <xf numFmtId="164" fontId="0" fillId="0" borderId="31" xfId="0" applyNumberFormat="1" applyBorder="1"/>
    <xf numFmtId="0" fontId="0" fillId="0" borderId="9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62" xfId="0" applyBorder="1"/>
    <xf numFmtId="0" fontId="0" fillId="0" borderId="61" xfId="0" applyBorder="1"/>
    <xf numFmtId="165" fontId="12" fillId="0" borderId="51" xfId="0" applyNumberFormat="1" applyFont="1" applyBorder="1" applyAlignment="1">
      <alignment horizontal="center" vertical="center"/>
    </xf>
    <xf numFmtId="165" fontId="7" fillId="0" borderId="48" xfId="0" applyNumberFormat="1" applyFont="1" applyBorder="1" applyAlignment="1">
      <alignment horizontal="center"/>
    </xf>
    <xf numFmtId="165" fontId="7" fillId="0" borderId="51" xfId="0" applyNumberFormat="1" applyFont="1" applyBorder="1" applyAlignment="1">
      <alignment horizontal="center"/>
    </xf>
    <xf numFmtId="14" fontId="12" fillId="0" borderId="51" xfId="0" applyNumberFormat="1" applyFont="1" applyBorder="1" applyAlignment="1">
      <alignment horizontal="center" vertical="center"/>
    </xf>
    <xf numFmtId="14" fontId="7" fillId="0" borderId="48" xfId="0" applyNumberFormat="1" applyFont="1" applyBorder="1" applyAlignment="1">
      <alignment horizontal="center"/>
    </xf>
    <xf numFmtId="14" fontId="7" fillId="0" borderId="51" xfId="0" applyNumberFormat="1" applyFont="1" applyBorder="1" applyAlignment="1">
      <alignment horizontal="center"/>
    </xf>
    <xf numFmtId="165" fontId="14" fillId="0" borderId="8" xfId="0" applyNumberFormat="1" applyFont="1" applyBorder="1" applyAlignment="1">
      <alignment horizontal="center" vertical="center"/>
    </xf>
    <xf numFmtId="14" fontId="14" fillId="0" borderId="9" xfId="0" applyNumberFormat="1" applyFont="1" applyBorder="1" applyAlignment="1">
      <alignment horizontal="center" vertical="center"/>
    </xf>
    <xf numFmtId="14" fontId="14" fillId="0" borderId="0" xfId="0" applyNumberFormat="1" applyFont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28" xfId="0" applyFont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10" fontId="3" fillId="0" borderId="18" xfId="0" applyNumberFormat="1" applyFont="1" applyBorder="1" applyAlignment="1">
      <alignment horizontal="center" vertical="center"/>
    </xf>
    <xf numFmtId="0" fontId="0" fillId="0" borderId="13" xfId="0" applyBorder="1"/>
    <xf numFmtId="10" fontId="3" fillId="0" borderId="19" xfId="0" applyNumberFormat="1" applyFont="1" applyBorder="1" applyAlignment="1">
      <alignment horizontal="center" vertical="center"/>
    </xf>
    <xf numFmtId="10" fontId="3" fillId="0" borderId="21" xfId="0" applyNumberFormat="1" applyFont="1" applyBorder="1" applyAlignment="1">
      <alignment horizontal="center" vertical="center"/>
    </xf>
    <xf numFmtId="0" fontId="0" fillId="0" borderId="10" xfId="0" applyBorder="1"/>
    <xf numFmtId="0" fontId="0" fillId="0" borderId="9" xfId="0" applyBorder="1"/>
    <xf numFmtId="0" fontId="3" fillId="0" borderId="22" xfId="0" applyFont="1" applyBorder="1" applyAlignment="1">
      <alignment horizontal="center" vertical="center"/>
    </xf>
    <xf numFmtId="0" fontId="0" fillId="0" borderId="31" xfId="0" applyBorder="1"/>
    <xf numFmtId="164" fontId="0" fillId="0" borderId="31" xfId="0" applyNumberFormat="1" applyBorder="1"/>
    <xf numFmtId="0" fontId="0" fillId="0" borderId="2" xfId="0" applyBorder="1"/>
    <xf numFmtId="10" fontId="3" fillId="0" borderId="23" xfId="0" applyNumberFormat="1" applyFont="1" applyBorder="1" applyAlignment="1">
      <alignment horizontal="center" vertical="center"/>
    </xf>
    <xf numFmtId="0" fontId="0" fillId="0" borderId="6" xfId="0" applyBorder="1"/>
    <xf numFmtId="10" fontId="3" fillId="0" borderId="2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2" borderId="65" xfId="0" applyFont="1" applyFill="1" applyBorder="1" applyAlignment="1">
      <alignment horizontal="center"/>
    </xf>
    <xf numFmtId="0" fontId="0" fillId="0" borderId="59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3" fillId="0" borderId="16" xfId="0" applyFont="1" applyBorder="1" applyAlignment="1">
      <alignment horizontal="center" vertical="center"/>
    </xf>
    <xf numFmtId="0" fontId="14" fillId="5" borderId="58" xfId="0" applyFont="1" applyFill="1" applyBorder="1" applyAlignment="1">
      <alignment horizontal="center" vertical="center"/>
    </xf>
    <xf numFmtId="0" fontId="0" fillId="0" borderId="56" xfId="0" applyBorder="1"/>
    <xf numFmtId="0" fontId="0" fillId="0" borderId="57" xfId="0" applyBorder="1"/>
    <xf numFmtId="0" fontId="3" fillId="0" borderId="13" xfId="0" applyFont="1" applyBorder="1" applyAlignment="1">
      <alignment horizontal="center" vertical="center"/>
    </xf>
    <xf numFmtId="3" fontId="3" fillId="0" borderId="20" xfId="0" applyNumberFormat="1" applyFont="1" applyBorder="1" applyAlignment="1">
      <alignment horizontal="center" vertical="center"/>
    </xf>
    <xf numFmtId="0" fontId="3" fillId="183" borderId="2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0" fontId="3" fillId="4" borderId="6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184" borderId="25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0" fontId="3" fillId="4" borderId="16" xfId="0" applyNumberFormat="1" applyFont="1" applyFill="1" applyBorder="1" applyAlignment="1">
      <alignment horizontal="center" vertical="center"/>
    </xf>
    <xf numFmtId="0" fontId="18" fillId="187" borderId="64" xfId="2" applyFont="1" applyFill="1" applyBorder="1" applyAlignment="1">
      <alignment horizontal="center" vertical="center"/>
    </xf>
    <xf numFmtId="0" fontId="0" fillId="0" borderId="62" xfId="0" applyBorder="1"/>
    <xf numFmtId="0" fontId="0" fillId="0" borderId="61" xfId="0" applyBorder="1"/>
    <xf numFmtId="0" fontId="0" fillId="0" borderId="66" xfId="0" applyBorder="1"/>
    <xf numFmtId="0" fontId="19" fillId="186" borderId="61" xfId="3" applyFont="1" applyFill="1" applyBorder="1" applyAlignment="1">
      <alignment horizontal="center" vertical="center"/>
    </xf>
    <xf numFmtId="0" fontId="19" fillId="189" borderId="61" xfId="3" applyFont="1" applyFill="1" applyBorder="1" applyAlignment="1">
      <alignment horizontal="center" vertical="center"/>
    </xf>
  </cellXfs>
  <cellStyles count="4">
    <cellStyle name="Explanatory Text" xfId="3" builtinId="53"/>
    <cellStyle name="Hyperlink" xfId="1" builtinId="8"/>
    <cellStyle name="Input" xfId="2" builtinId="20"/>
    <cellStyle name="Normal" xfId="0" builtinId="0"/>
  </cellStyles>
  <dxfs count="297"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9" formatCode="m/d/yyyy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4" formatCode="0.00%"/>
      <fill>
        <patternFill patternType="solid">
          <fgColor indexed="64"/>
          <bgColor rgb="FF63BE7B"/>
        </patternFill>
      </fill>
      <alignment horizontal="center" vertical="center"/>
      <border outline="0">
        <left/>
        <right style="medium">
          <color rgb="FF3F3F3F"/>
        </right>
        <top/>
        <bottom style="medium">
          <color rgb="FF3F3F3F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4" formatCode="0.00%"/>
      <fill>
        <patternFill patternType="solid">
          <fgColor indexed="64"/>
          <bgColor rgb="FF63BE7B"/>
        </patternFill>
      </fill>
      <alignment horizontal="center" vertical="center"/>
      <border outline="0">
        <left/>
        <right style="medium">
          <color rgb="FF3F3F3F"/>
        </right>
        <top/>
        <bottom style="medium">
          <color rgb="FF3F3F3F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9" formatCode="m/d/yyyy"/>
      <alignment horizontal="center" vertical="center"/>
      <border outline="0">
        <left/>
        <right style="medium">
          <color rgb="FF000080"/>
        </right>
        <top/>
        <bottom style="thick">
          <color rgb="FF00008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64" formatCode="&quot;$&quot;0.00##"/>
      <alignment horizontal="center" vertical="center"/>
      <border outline="0">
        <left/>
        <right style="medium">
          <color rgb="FF000080"/>
        </right>
        <top/>
        <bottom style="medium">
          <color rgb="FF00008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64" formatCode="&quot;$&quot;0.00##"/>
      <alignment horizontal="center" vertical="center"/>
      <border outline="0">
        <left/>
        <right style="medium">
          <color rgb="FF000080"/>
        </right>
        <top/>
        <bottom style="medium">
          <color rgb="FF00008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9" formatCode="m/d/yyyy"/>
      <fill>
        <patternFill patternType="solid">
          <fgColor indexed="64"/>
          <bgColor rgb="FFD6DCE4"/>
        </patternFill>
      </fill>
      <alignment horizontal="center" vertical="center"/>
      <border outline="0">
        <left style="thick">
          <color theme="9"/>
        </left>
        <right style="thick">
          <color theme="9"/>
        </right>
        <top/>
        <bottom style="medium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64" formatCode="&quot;$&quot;0.00##"/>
      <fill>
        <patternFill patternType="solid">
          <fgColor indexed="64"/>
          <bgColor rgb="FFD6DCE4"/>
        </patternFill>
      </fill>
      <alignment horizontal="center" vertical="center"/>
      <border outline="0">
        <left style="thick">
          <color theme="9"/>
        </left>
        <right style="thick">
          <color theme="9"/>
        </right>
        <top/>
        <bottom style="medium">
          <color rgb="FF00008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alignment horizontal="center" vertical="center"/>
      <border outline="0">
        <left style="thick">
          <color theme="9"/>
        </left>
        <right style="thick">
          <color theme="9"/>
        </right>
        <top/>
        <bottom style="medium">
          <color rgb="FF00008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fill>
        <patternFill patternType="solid">
          <fgColor indexed="64"/>
          <bgColor rgb="FFD6DCE4"/>
        </patternFill>
      </fill>
      <alignment horizontal="center" vertical="center"/>
      <border outline="0">
        <left style="thick">
          <color theme="9"/>
        </left>
        <right style="thick">
          <color theme="9"/>
        </right>
        <top/>
        <bottom style="medium">
          <color rgb="FF000080"/>
        </bottom>
      </border>
    </dxf>
    <dxf>
      <font>
        <strike val="0"/>
        <outline val="0"/>
        <shadow val="0"/>
        <vertAlign val="baseline"/>
      </font>
      <alignment horizontal="center"/>
      <border outline="0">
        <left style="thick">
          <color theme="9"/>
        </left>
        <right style="thick">
          <color theme="9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fill>
        <patternFill patternType="solid">
          <fgColor indexed="64"/>
          <bgColor rgb="FFD6DCE4"/>
        </patternFill>
      </fill>
      <alignment horizontal="center" vertical="center"/>
      <border outline="0">
        <left style="thick">
          <color theme="9"/>
        </left>
        <right style="thick">
          <color theme="9"/>
        </right>
        <top/>
        <bottom style="medium">
          <color rgb="FF000080"/>
        </bottom>
      </border>
    </dxf>
    <dxf>
      <font>
        <strike val="0"/>
        <outline val="0"/>
        <shadow val="0"/>
        <vertAlign val="baseline"/>
      </font>
      <fill>
        <patternFill patternType="solid">
          <fgColor indexed="64"/>
          <bgColor rgb="FFD6DCE4"/>
        </patternFill>
      </fill>
      <alignment horizontal="center" vertical="center"/>
      <border outline="0">
        <left/>
        <right style="thick">
          <color theme="9"/>
        </right>
        <top/>
        <bottom style="medium">
          <color rgb="FF000080"/>
        </bottom>
      </border>
    </dxf>
    <dxf>
      <border outline="0">
        <left style="thick">
          <color rgb="FF70AD47"/>
        </left>
      </border>
    </dxf>
    <dxf>
      <font>
        <strike val="0"/>
        <outline val="0"/>
        <shadow val="0"/>
        <vertAlign val="baseline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outline val="0"/>
        <shadow val="0"/>
        <vertAlign val="baseline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9" formatCode="m/d/yyyy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4" formatCode="0.00%"/>
      <fill>
        <patternFill patternType="solid">
          <fgColor indexed="64"/>
          <bgColor rgb="FF63BE7B"/>
        </patternFill>
      </fill>
      <alignment horizontal="center" vertical="center"/>
      <border outline="0">
        <left/>
        <right style="medium">
          <color rgb="FF3F3F3F"/>
        </right>
        <top/>
        <bottom style="medium">
          <color rgb="FF3F3F3F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4" formatCode="0.00%"/>
      <fill>
        <patternFill patternType="solid">
          <fgColor indexed="64"/>
          <bgColor rgb="FF63BE7B"/>
        </patternFill>
      </fill>
      <alignment horizontal="center" vertical="center"/>
      <border outline="0">
        <left/>
        <right style="medium">
          <color rgb="FF3F3F3F"/>
        </right>
        <top/>
        <bottom style="medium">
          <color rgb="FF3F3F3F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9" formatCode="m/d/yyyy"/>
      <alignment horizontal="center" vertical="center"/>
      <border outline="0">
        <left/>
        <right style="medium">
          <color rgb="FF000080"/>
        </right>
        <top/>
        <bottom style="thick">
          <color rgb="FF00008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64" formatCode="&quot;$&quot;0.00##"/>
      <alignment horizontal="center" vertical="center"/>
      <border outline="0">
        <left/>
        <right style="medium">
          <color rgb="FF000080"/>
        </right>
        <top/>
        <bottom style="medium">
          <color rgb="FF00008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64" formatCode="&quot;$&quot;0.00##"/>
      <alignment horizontal="center" vertical="center"/>
      <border outline="0">
        <left/>
        <right style="medium">
          <color rgb="FF000080"/>
        </right>
        <top/>
        <bottom style="medium">
          <color rgb="FF00008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9" formatCode="m/d/yyyy"/>
      <fill>
        <patternFill patternType="solid">
          <fgColor indexed="64"/>
          <bgColor rgb="FFD6DCE4"/>
        </patternFill>
      </fill>
      <alignment horizontal="center" vertical="center"/>
      <border outline="0">
        <left style="thick">
          <color theme="9"/>
        </left>
        <right style="thick">
          <color theme="9"/>
        </right>
        <top/>
        <bottom style="medium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numFmt numFmtId="164" formatCode="&quot;$&quot;0.00##"/>
      <fill>
        <patternFill patternType="solid">
          <fgColor indexed="64"/>
          <bgColor rgb="FFD6DCE4"/>
        </patternFill>
      </fill>
      <alignment horizontal="center" vertical="center"/>
      <border outline="0">
        <left style="thick">
          <color theme="9"/>
        </left>
        <right style="thick">
          <color theme="9"/>
        </right>
        <top/>
        <bottom style="medium">
          <color rgb="FF00008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alignment horizontal="center" vertical="center"/>
      <border outline="0">
        <left style="thick">
          <color theme="9"/>
        </left>
        <right style="thick">
          <color theme="9"/>
        </right>
        <top/>
        <bottom style="medium">
          <color rgb="FF00008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fill>
        <patternFill patternType="solid">
          <fgColor indexed="64"/>
          <bgColor rgb="FFD6DCE4"/>
        </patternFill>
      </fill>
      <alignment horizontal="center" vertical="center"/>
      <border outline="0">
        <left style="thick">
          <color theme="9"/>
        </left>
        <right style="thick">
          <color theme="9"/>
        </right>
        <top/>
        <bottom style="medium">
          <color rgb="FF000080"/>
        </bottom>
      </border>
    </dxf>
    <dxf>
      <font>
        <strike val="0"/>
        <outline val="0"/>
        <shadow val="0"/>
        <vertAlign val="baseline"/>
      </font>
      <alignment horizontal="center"/>
      <border outline="0">
        <left style="thick">
          <color theme="9"/>
        </left>
        <right style="thick">
          <color theme="9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Tahoma"/>
        <family val="2"/>
      </font>
      <fill>
        <patternFill patternType="solid">
          <fgColor indexed="64"/>
          <bgColor rgb="FFD6DCE4"/>
        </patternFill>
      </fill>
      <alignment horizontal="center" vertical="center"/>
      <border outline="0">
        <left style="thick">
          <color theme="9"/>
        </left>
        <right style="thick">
          <color theme="9"/>
        </right>
        <top/>
        <bottom style="medium">
          <color rgb="FF000080"/>
        </bottom>
      </border>
    </dxf>
    <dxf>
      <font>
        <strike val="0"/>
        <outline val="0"/>
        <shadow val="0"/>
        <vertAlign val="baseline"/>
      </font>
      <fill>
        <patternFill patternType="solid">
          <fgColor indexed="64"/>
          <bgColor rgb="FFD6DCE4"/>
        </patternFill>
      </fill>
      <alignment horizontal="center" vertical="center"/>
      <border outline="0">
        <left/>
        <right style="thick">
          <color theme="9"/>
        </right>
        <top/>
        <bottom style="medium">
          <color rgb="FF000080"/>
        </bottom>
      </border>
    </dxf>
    <dxf>
      <border outline="0">
        <left style="thick">
          <color theme="9"/>
        </left>
      </border>
    </dxf>
    <dxf>
      <font>
        <strike val="0"/>
        <outline val="0"/>
        <shadow val="0"/>
        <vertAlign val="baseline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/>
        <top style="medium">
          <color theme="8" tint="-0.499984740745262"/>
        </top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/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14" formatCode="0.00%"/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14" formatCode="0.00%"/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164" formatCode="&quot;$&quot;0.00##"/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164" formatCode="&quot;$&quot;0.00##"/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164" formatCode="&quot;$&quot;0.00##"/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  <border outline="0">
        <left/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general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PeakVsElapsedTime</a:t>
            </a:r>
          </a:p>
        </c:rich>
      </c:tx>
      <c:layout>
        <c:manualLayout>
          <c:xMode val="edge"/>
          <c:yMode val="edge"/>
          <c:x val="0.37552214834228398"/>
          <c:y val="2.777777777777778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</a:ln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</c:marker>
          <c:xVal>
            <c:numRef>
              <c:f>Stocks!$Q$6:$Q$318</c:f>
              <c:numCache>
                <c:formatCode>#,##0</c:formatCode>
                <c:ptCount val="313"/>
                <c:pt idx="0">
                  <c:v>2</c:v>
                </c:pt>
                <c:pt idx="1">
                  <c:v>18</c:v>
                </c:pt>
                <c:pt idx="2">
                  <c:v>1</c:v>
                </c:pt>
                <c:pt idx="3">
                  <c:v>11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11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34</c:v>
                </c:pt>
                <c:pt idx="13">
                  <c:v>6</c:v>
                </c:pt>
                <c:pt idx="14">
                  <c:v>2</c:v>
                </c:pt>
                <c:pt idx="15">
                  <c:v>1</c:v>
                </c:pt>
                <c:pt idx="17">
                  <c:v>43</c:v>
                </c:pt>
                <c:pt idx="18">
                  <c:v>26</c:v>
                </c:pt>
                <c:pt idx="21">
                  <c:v>26</c:v>
                </c:pt>
                <c:pt idx="22">
                  <c:v>10</c:v>
                </c:pt>
                <c:pt idx="23">
                  <c:v>31</c:v>
                </c:pt>
                <c:pt idx="24">
                  <c:v>30</c:v>
                </c:pt>
                <c:pt idx="25">
                  <c:v>9</c:v>
                </c:pt>
                <c:pt idx="26">
                  <c:v>2</c:v>
                </c:pt>
                <c:pt idx="27">
                  <c:v>4</c:v>
                </c:pt>
                <c:pt idx="28">
                  <c:v>6</c:v>
                </c:pt>
                <c:pt idx="30">
                  <c:v>20</c:v>
                </c:pt>
                <c:pt idx="33">
                  <c:v>52</c:v>
                </c:pt>
                <c:pt idx="35">
                  <c:v>4</c:v>
                </c:pt>
                <c:pt idx="37">
                  <c:v>49</c:v>
                </c:pt>
                <c:pt idx="38">
                  <c:v>1</c:v>
                </c:pt>
                <c:pt idx="39">
                  <c:v>54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4" formatCode="General">
                  <c:v>1</c:v>
                </c:pt>
                <c:pt idx="46">
                  <c:v>5</c:v>
                </c:pt>
                <c:pt idx="47">
                  <c:v>34</c:v>
                </c:pt>
                <c:pt idx="48">
                  <c:v>5</c:v>
                </c:pt>
                <c:pt idx="49">
                  <c:v>32</c:v>
                </c:pt>
                <c:pt idx="50">
                  <c:v>10</c:v>
                </c:pt>
                <c:pt idx="52">
                  <c:v>13</c:v>
                </c:pt>
                <c:pt idx="53">
                  <c:v>11</c:v>
                </c:pt>
                <c:pt idx="54">
                  <c:v>14</c:v>
                </c:pt>
                <c:pt idx="60">
                  <c:v>14</c:v>
                </c:pt>
                <c:pt idx="61">
                  <c:v>17</c:v>
                </c:pt>
                <c:pt idx="64">
                  <c:v>14</c:v>
                </c:pt>
                <c:pt idx="65">
                  <c:v>15</c:v>
                </c:pt>
                <c:pt idx="66">
                  <c:v>18</c:v>
                </c:pt>
                <c:pt idx="67">
                  <c:v>15</c:v>
                </c:pt>
                <c:pt idx="68">
                  <c:v>15</c:v>
                </c:pt>
                <c:pt idx="69">
                  <c:v>28</c:v>
                </c:pt>
                <c:pt idx="70">
                  <c:v>15</c:v>
                </c:pt>
                <c:pt idx="71">
                  <c:v>5</c:v>
                </c:pt>
                <c:pt idx="72">
                  <c:v>18</c:v>
                </c:pt>
                <c:pt idx="73">
                  <c:v>48</c:v>
                </c:pt>
                <c:pt idx="74">
                  <c:v>12</c:v>
                </c:pt>
                <c:pt idx="75">
                  <c:v>42</c:v>
                </c:pt>
                <c:pt idx="76">
                  <c:v>5</c:v>
                </c:pt>
                <c:pt idx="77">
                  <c:v>6</c:v>
                </c:pt>
                <c:pt idx="78">
                  <c:v>4</c:v>
                </c:pt>
                <c:pt idx="79">
                  <c:v>20</c:v>
                </c:pt>
                <c:pt idx="80">
                  <c:v>14</c:v>
                </c:pt>
                <c:pt idx="81">
                  <c:v>31</c:v>
                </c:pt>
                <c:pt idx="82">
                  <c:v>56</c:v>
                </c:pt>
                <c:pt idx="83">
                  <c:v>15</c:v>
                </c:pt>
                <c:pt idx="84">
                  <c:v>13</c:v>
                </c:pt>
                <c:pt idx="85" formatCode="General">
                  <c:v>29</c:v>
                </c:pt>
                <c:pt idx="86" formatCode="General">
                  <c:v>1</c:v>
                </c:pt>
                <c:pt idx="87" formatCode="General">
                  <c:v>28</c:v>
                </c:pt>
                <c:pt idx="88" formatCode="General">
                  <c:v>24</c:v>
                </c:pt>
                <c:pt idx="89">
                  <c:v>16</c:v>
                </c:pt>
                <c:pt idx="90" formatCode="General">
                  <c:v>1</c:v>
                </c:pt>
                <c:pt idx="91" formatCode="General">
                  <c:v>24</c:v>
                </c:pt>
                <c:pt idx="92" formatCode="General">
                  <c:v>31</c:v>
                </c:pt>
                <c:pt idx="93" formatCode="General">
                  <c:v>3</c:v>
                </c:pt>
                <c:pt idx="94" formatCode="General">
                  <c:v>1</c:v>
                </c:pt>
                <c:pt idx="95" formatCode="General">
                  <c:v>11</c:v>
                </c:pt>
                <c:pt idx="96" formatCode="General">
                  <c:v>24</c:v>
                </c:pt>
                <c:pt idx="97" formatCode="General">
                  <c:v>27</c:v>
                </c:pt>
                <c:pt idx="98" formatCode="General">
                  <c:v>19</c:v>
                </c:pt>
                <c:pt idx="99" formatCode="General">
                  <c:v>24</c:v>
                </c:pt>
                <c:pt idx="100" formatCode="General">
                  <c:v>62</c:v>
                </c:pt>
                <c:pt idx="101">
                  <c:v>50</c:v>
                </c:pt>
                <c:pt idx="102">
                  <c:v>47</c:v>
                </c:pt>
                <c:pt idx="103">
                  <c:v>57</c:v>
                </c:pt>
                <c:pt idx="104">
                  <c:v>12</c:v>
                </c:pt>
                <c:pt idx="105">
                  <c:v>7</c:v>
                </c:pt>
                <c:pt idx="106" formatCode="General">
                  <c:v>33</c:v>
                </c:pt>
                <c:pt idx="107" formatCode="General">
                  <c:v>41</c:v>
                </c:pt>
                <c:pt idx="108" formatCode="General">
                  <c:v>25</c:v>
                </c:pt>
                <c:pt idx="109" formatCode="General">
                  <c:v>39</c:v>
                </c:pt>
                <c:pt idx="110">
                  <c:v>29</c:v>
                </c:pt>
                <c:pt idx="111">
                  <c:v>54</c:v>
                </c:pt>
                <c:pt idx="112">
                  <c:v>21</c:v>
                </c:pt>
                <c:pt idx="113">
                  <c:v>2</c:v>
                </c:pt>
                <c:pt idx="114">
                  <c:v>43</c:v>
                </c:pt>
                <c:pt idx="115" formatCode="General">
                  <c:v>5</c:v>
                </c:pt>
                <c:pt idx="116">
                  <c:v>36</c:v>
                </c:pt>
                <c:pt idx="117">
                  <c:v>43</c:v>
                </c:pt>
                <c:pt idx="118">
                  <c:v>49</c:v>
                </c:pt>
                <c:pt idx="119">
                  <c:v>38</c:v>
                </c:pt>
                <c:pt idx="120">
                  <c:v>27</c:v>
                </c:pt>
                <c:pt idx="121" formatCode="General">
                  <c:v>57</c:v>
                </c:pt>
                <c:pt idx="122" formatCode="General">
                  <c:v>7</c:v>
                </c:pt>
                <c:pt idx="123" formatCode="General">
                  <c:v>56</c:v>
                </c:pt>
                <c:pt idx="124" formatCode="General">
                  <c:v>37</c:v>
                </c:pt>
                <c:pt idx="125">
                  <c:v>28</c:v>
                </c:pt>
                <c:pt idx="126">
                  <c:v>32</c:v>
                </c:pt>
                <c:pt idx="127" formatCode="General">
                  <c:v>6</c:v>
                </c:pt>
                <c:pt idx="128" formatCode="General">
                  <c:v>32</c:v>
                </c:pt>
                <c:pt idx="129" formatCode="General">
                  <c:v>5</c:v>
                </c:pt>
                <c:pt idx="130" formatCode="General">
                  <c:v>1</c:v>
                </c:pt>
                <c:pt idx="131">
                  <c:v>62</c:v>
                </c:pt>
                <c:pt idx="132" formatCode="General">
                  <c:v>1</c:v>
                </c:pt>
                <c:pt idx="133">
                  <c:v>69</c:v>
                </c:pt>
                <c:pt idx="134">
                  <c:v>14</c:v>
                </c:pt>
                <c:pt idx="135">
                  <c:v>40</c:v>
                </c:pt>
                <c:pt idx="136">
                  <c:v>39</c:v>
                </c:pt>
                <c:pt idx="137">
                  <c:v>36</c:v>
                </c:pt>
                <c:pt idx="138" formatCode="General">
                  <c:v>38</c:v>
                </c:pt>
                <c:pt idx="139">
                  <c:v>5</c:v>
                </c:pt>
                <c:pt idx="140">
                  <c:v>72</c:v>
                </c:pt>
                <c:pt idx="141">
                  <c:v>64</c:v>
                </c:pt>
                <c:pt idx="142">
                  <c:v>62</c:v>
                </c:pt>
                <c:pt idx="143">
                  <c:v>64</c:v>
                </c:pt>
                <c:pt idx="144">
                  <c:v>2</c:v>
                </c:pt>
                <c:pt idx="145">
                  <c:v>94</c:v>
                </c:pt>
                <c:pt idx="146">
                  <c:v>120</c:v>
                </c:pt>
                <c:pt idx="147">
                  <c:v>21</c:v>
                </c:pt>
                <c:pt idx="148">
                  <c:v>101</c:v>
                </c:pt>
                <c:pt idx="149">
                  <c:v>81</c:v>
                </c:pt>
                <c:pt idx="150">
                  <c:v>32</c:v>
                </c:pt>
                <c:pt idx="151">
                  <c:v>99</c:v>
                </c:pt>
                <c:pt idx="152">
                  <c:v>112</c:v>
                </c:pt>
                <c:pt idx="153">
                  <c:v>3</c:v>
                </c:pt>
                <c:pt idx="155">
                  <c:v>7</c:v>
                </c:pt>
                <c:pt idx="156">
                  <c:v>35</c:v>
                </c:pt>
                <c:pt idx="157">
                  <c:v>9</c:v>
                </c:pt>
                <c:pt idx="158">
                  <c:v>7</c:v>
                </c:pt>
                <c:pt idx="159">
                  <c:v>109</c:v>
                </c:pt>
                <c:pt idx="160">
                  <c:v>13</c:v>
                </c:pt>
                <c:pt idx="161">
                  <c:v>79</c:v>
                </c:pt>
                <c:pt idx="162">
                  <c:v>116</c:v>
                </c:pt>
                <c:pt idx="163">
                  <c:v>1</c:v>
                </c:pt>
                <c:pt idx="165">
                  <c:v>78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70">
                  <c:v>1</c:v>
                </c:pt>
                <c:pt idx="171">
                  <c:v>32</c:v>
                </c:pt>
                <c:pt idx="172">
                  <c:v>4</c:v>
                </c:pt>
                <c:pt idx="173">
                  <c:v>39</c:v>
                </c:pt>
                <c:pt idx="174">
                  <c:v>105</c:v>
                </c:pt>
                <c:pt idx="175">
                  <c:v>149</c:v>
                </c:pt>
                <c:pt idx="176">
                  <c:v>1</c:v>
                </c:pt>
                <c:pt idx="177">
                  <c:v>98</c:v>
                </c:pt>
                <c:pt idx="178">
                  <c:v>6</c:v>
                </c:pt>
                <c:pt idx="179">
                  <c:v>89</c:v>
                </c:pt>
                <c:pt idx="180">
                  <c:v>24</c:v>
                </c:pt>
                <c:pt idx="181">
                  <c:v>23</c:v>
                </c:pt>
                <c:pt idx="183">
                  <c:v>1</c:v>
                </c:pt>
                <c:pt idx="184">
                  <c:v>1</c:v>
                </c:pt>
                <c:pt idx="185">
                  <c:v>3</c:v>
                </c:pt>
                <c:pt idx="186">
                  <c:v>2</c:v>
                </c:pt>
                <c:pt idx="187">
                  <c:v>1</c:v>
                </c:pt>
                <c:pt idx="188" formatCode="General">
                  <c:v>8</c:v>
                </c:pt>
                <c:pt idx="190" formatCode="General">
                  <c:v>1</c:v>
                </c:pt>
                <c:pt idx="191" formatCode="General">
                  <c:v>8</c:v>
                </c:pt>
                <c:pt idx="193" formatCode="General">
                  <c:v>43</c:v>
                </c:pt>
                <c:pt idx="194" formatCode="General">
                  <c:v>7</c:v>
                </c:pt>
                <c:pt idx="195" formatCode="General">
                  <c:v>9</c:v>
                </c:pt>
                <c:pt idx="196" formatCode="General">
                  <c:v>1</c:v>
                </c:pt>
                <c:pt idx="197" formatCode="General">
                  <c:v>16</c:v>
                </c:pt>
                <c:pt idx="198" formatCode="General">
                  <c:v>140</c:v>
                </c:pt>
                <c:pt idx="199" formatCode="General">
                  <c:v>8</c:v>
                </c:pt>
                <c:pt idx="200">
                  <c:v>9</c:v>
                </c:pt>
                <c:pt idx="201">
                  <c:v>11</c:v>
                </c:pt>
                <c:pt idx="202">
                  <c:v>38</c:v>
                </c:pt>
                <c:pt idx="203">
                  <c:v>10</c:v>
                </c:pt>
                <c:pt idx="204">
                  <c:v>31</c:v>
                </c:pt>
                <c:pt idx="205">
                  <c:v>9</c:v>
                </c:pt>
                <c:pt idx="206">
                  <c:v>11</c:v>
                </c:pt>
                <c:pt idx="207">
                  <c:v>9</c:v>
                </c:pt>
                <c:pt idx="208">
                  <c:v>10</c:v>
                </c:pt>
                <c:pt idx="209">
                  <c:v>3</c:v>
                </c:pt>
                <c:pt idx="210">
                  <c:v>157</c:v>
                </c:pt>
                <c:pt idx="211" formatCode="General">
                  <c:v>14</c:v>
                </c:pt>
                <c:pt idx="212">
                  <c:v>1</c:v>
                </c:pt>
                <c:pt idx="213">
                  <c:v>184</c:v>
                </c:pt>
                <c:pt idx="214" formatCode="General">
                  <c:v>18</c:v>
                </c:pt>
                <c:pt idx="215" formatCode="General">
                  <c:v>17</c:v>
                </c:pt>
                <c:pt idx="216">
                  <c:v>4</c:v>
                </c:pt>
                <c:pt idx="217">
                  <c:v>19</c:v>
                </c:pt>
                <c:pt idx="218">
                  <c:v>17</c:v>
                </c:pt>
                <c:pt idx="219">
                  <c:v>1</c:v>
                </c:pt>
                <c:pt idx="220">
                  <c:v>23</c:v>
                </c:pt>
                <c:pt idx="221">
                  <c:v>23</c:v>
                </c:pt>
                <c:pt idx="222">
                  <c:v>57</c:v>
                </c:pt>
                <c:pt idx="223">
                  <c:v>15</c:v>
                </c:pt>
                <c:pt idx="224">
                  <c:v>17</c:v>
                </c:pt>
                <c:pt idx="225">
                  <c:v>141</c:v>
                </c:pt>
                <c:pt idx="226">
                  <c:v>23</c:v>
                </c:pt>
                <c:pt idx="227">
                  <c:v>27</c:v>
                </c:pt>
                <c:pt idx="228">
                  <c:v>24</c:v>
                </c:pt>
                <c:pt idx="229">
                  <c:v>25</c:v>
                </c:pt>
                <c:pt idx="230">
                  <c:v>168</c:v>
                </c:pt>
                <c:pt idx="231">
                  <c:v>26</c:v>
                </c:pt>
                <c:pt idx="232">
                  <c:v>25</c:v>
                </c:pt>
                <c:pt idx="233">
                  <c:v>26</c:v>
                </c:pt>
                <c:pt idx="234">
                  <c:v>23</c:v>
                </c:pt>
                <c:pt idx="235">
                  <c:v>26</c:v>
                </c:pt>
                <c:pt idx="236">
                  <c:v>142</c:v>
                </c:pt>
                <c:pt idx="237">
                  <c:v>169</c:v>
                </c:pt>
                <c:pt idx="238">
                  <c:v>175</c:v>
                </c:pt>
                <c:pt idx="239">
                  <c:v>8</c:v>
                </c:pt>
                <c:pt idx="240">
                  <c:v>64</c:v>
                </c:pt>
                <c:pt idx="241">
                  <c:v>38</c:v>
                </c:pt>
                <c:pt idx="242">
                  <c:v>44</c:v>
                </c:pt>
                <c:pt idx="243">
                  <c:v>73</c:v>
                </c:pt>
                <c:pt idx="244">
                  <c:v>187</c:v>
                </c:pt>
                <c:pt idx="245">
                  <c:v>38</c:v>
                </c:pt>
                <c:pt idx="246">
                  <c:v>179</c:v>
                </c:pt>
                <c:pt idx="247">
                  <c:v>29</c:v>
                </c:pt>
                <c:pt idx="248">
                  <c:v>78</c:v>
                </c:pt>
                <c:pt idx="249">
                  <c:v>38</c:v>
                </c:pt>
                <c:pt idx="250">
                  <c:v>39</c:v>
                </c:pt>
                <c:pt idx="251" formatCode="General">
                  <c:v>147</c:v>
                </c:pt>
                <c:pt idx="252">
                  <c:v>189</c:v>
                </c:pt>
                <c:pt idx="253">
                  <c:v>7</c:v>
                </c:pt>
                <c:pt idx="254">
                  <c:v>38</c:v>
                </c:pt>
                <c:pt idx="255">
                  <c:v>44</c:v>
                </c:pt>
                <c:pt idx="256">
                  <c:v>190</c:v>
                </c:pt>
                <c:pt idx="257">
                  <c:v>36</c:v>
                </c:pt>
                <c:pt idx="258">
                  <c:v>17</c:v>
                </c:pt>
                <c:pt idx="259">
                  <c:v>98</c:v>
                </c:pt>
                <c:pt idx="260">
                  <c:v>73</c:v>
                </c:pt>
                <c:pt idx="261">
                  <c:v>44</c:v>
                </c:pt>
                <c:pt idx="262">
                  <c:v>37</c:v>
                </c:pt>
                <c:pt idx="263">
                  <c:v>32</c:v>
                </c:pt>
                <c:pt idx="264">
                  <c:v>79</c:v>
                </c:pt>
                <c:pt idx="265">
                  <c:v>46</c:v>
                </c:pt>
                <c:pt idx="266" formatCode="General">
                  <c:v>207</c:v>
                </c:pt>
                <c:pt idx="267">
                  <c:v>163</c:v>
                </c:pt>
                <c:pt idx="268">
                  <c:v>80</c:v>
                </c:pt>
                <c:pt idx="269">
                  <c:v>56</c:v>
                </c:pt>
                <c:pt idx="270">
                  <c:v>46</c:v>
                </c:pt>
                <c:pt idx="271">
                  <c:v>44</c:v>
                </c:pt>
                <c:pt idx="272">
                  <c:v>32</c:v>
                </c:pt>
                <c:pt idx="273">
                  <c:v>168</c:v>
                </c:pt>
                <c:pt idx="274">
                  <c:v>51</c:v>
                </c:pt>
                <c:pt idx="275">
                  <c:v>127</c:v>
                </c:pt>
                <c:pt idx="276">
                  <c:v>56</c:v>
                </c:pt>
                <c:pt idx="277">
                  <c:v>46</c:v>
                </c:pt>
                <c:pt idx="278">
                  <c:v>50</c:v>
                </c:pt>
                <c:pt idx="279">
                  <c:v>58</c:v>
                </c:pt>
                <c:pt idx="280">
                  <c:v>38</c:v>
                </c:pt>
                <c:pt idx="281">
                  <c:v>93</c:v>
                </c:pt>
                <c:pt idx="282">
                  <c:v>59</c:v>
                </c:pt>
                <c:pt idx="283">
                  <c:v>46</c:v>
                </c:pt>
                <c:pt idx="284">
                  <c:v>57</c:v>
                </c:pt>
                <c:pt idx="285">
                  <c:v>96</c:v>
                </c:pt>
                <c:pt idx="286" formatCode="General">
                  <c:v>32</c:v>
                </c:pt>
                <c:pt idx="287">
                  <c:v>83</c:v>
                </c:pt>
                <c:pt idx="288">
                  <c:v>196</c:v>
                </c:pt>
                <c:pt idx="289">
                  <c:v>11</c:v>
                </c:pt>
                <c:pt idx="290">
                  <c:v>95</c:v>
                </c:pt>
                <c:pt idx="291">
                  <c:v>111</c:v>
                </c:pt>
                <c:pt idx="292">
                  <c:v>112</c:v>
                </c:pt>
                <c:pt idx="293">
                  <c:v>147</c:v>
                </c:pt>
                <c:pt idx="294">
                  <c:v>91</c:v>
                </c:pt>
                <c:pt idx="295">
                  <c:v>144</c:v>
                </c:pt>
                <c:pt idx="296">
                  <c:v>131</c:v>
                </c:pt>
                <c:pt idx="297">
                  <c:v>5</c:v>
                </c:pt>
                <c:pt idx="298">
                  <c:v>128</c:v>
                </c:pt>
                <c:pt idx="299">
                  <c:v>252</c:v>
                </c:pt>
                <c:pt idx="300">
                  <c:v>270</c:v>
                </c:pt>
                <c:pt idx="301">
                  <c:v>126</c:v>
                </c:pt>
                <c:pt idx="302">
                  <c:v>135</c:v>
                </c:pt>
                <c:pt idx="303">
                  <c:v>276</c:v>
                </c:pt>
                <c:pt idx="304" formatCode="General">
                  <c:v>180</c:v>
                </c:pt>
                <c:pt idx="305" formatCode="General">
                  <c:v>194</c:v>
                </c:pt>
                <c:pt idx="306" formatCode="General">
                  <c:v>34</c:v>
                </c:pt>
                <c:pt idx="307" formatCode="General">
                  <c:v>192</c:v>
                </c:pt>
                <c:pt idx="308" formatCode="General">
                  <c:v>182</c:v>
                </c:pt>
                <c:pt idx="309" formatCode="General">
                  <c:v>11</c:v>
                </c:pt>
                <c:pt idx="310" formatCode="General">
                  <c:v>181</c:v>
                </c:pt>
                <c:pt idx="311" formatCode="General">
                  <c:v>178</c:v>
                </c:pt>
                <c:pt idx="312" formatCode="General">
                  <c:v>173</c:v>
                </c:pt>
              </c:numCache>
            </c:numRef>
          </c:xVal>
          <c:yVal>
            <c:numRef>
              <c:f>Stocks!$L$6:$L$318</c:f>
              <c:numCache>
                <c:formatCode>0.00%</c:formatCode>
                <c:ptCount val="313"/>
                <c:pt idx="0">
                  <c:v>0.10476190476190461</c:v>
                </c:pt>
                <c:pt idx="1">
                  <c:v>2.3041474654378113E-2</c:v>
                </c:pt>
                <c:pt idx="2">
                  <c:v>4.9342105263157965E-2</c:v>
                </c:pt>
                <c:pt idx="3">
                  <c:v>0.74725274725274726</c:v>
                </c:pt>
                <c:pt idx="4">
                  <c:v>3.01111111111112E-2</c:v>
                </c:pt>
                <c:pt idx="5">
                  <c:v>8.7499999999999911E-2</c:v>
                </c:pt>
                <c:pt idx="6">
                  <c:v>6.3780487804877994E-2</c:v>
                </c:pt>
                <c:pt idx="7">
                  <c:v>1.8774559743850894E-2</c:v>
                </c:pt>
                <c:pt idx="8">
                  <c:v>0.64655172413793105</c:v>
                </c:pt>
                <c:pt idx="9">
                  <c:v>7.6335877862594437E-3</c:v>
                </c:pt>
                <c:pt idx="10">
                  <c:v>6.3829787234042534E-2</c:v>
                </c:pt>
                <c:pt idx="11">
                  <c:v>0.29281767955801086</c:v>
                </c:pt>
                <c:pt idx="12">
                  <c:v>0.16030534351145032</c:v>
                </c:pt>
                <c:pt idx="13">
                  <c:v>0.27803738317756999</c:v>
                </c:pt>
                <c:pt idx="14">
                  <c:v>0.51063829787234027</c:v>
                </c:pt>
                <c:pt idx="15">
                  <c:v>0.15044247787610621</c:v>
                </c:pt>
                <c:pt idx="16">
                  <c:v>0.19999999999999996</c:v>
                </c:pt>
                <c:pt idx="17">
                  <c:v>0.15025906735751304</c:v>
                </c:pt>
                <c:pt idx="18">
                  <c:v>0.16550522648083632</c:v>
                </c:pt>
                <c:pt idx="19">
                  <c:v>0.15835140997830788</c:v>
                </c:pt>
                <c:pt idx="20">
                  <c:v>0.37790697674418605</c:v>
                </c:pt>
                <c:pt idx="21">
                  <c:v>0.17380352644836261</c:v>
                </c:pt>
                <c:pt idx="22">
                  <c:v>0.14563758389261738</c:v>
                </c:pt>
                <c:pt idx="23">
                  <c:v>0.88888888888888884</c:v>
                </c:pt>
                <c:pt idx="24">
                  <c:v>0.26791866028708133</c:v>
                </c:pt>
                <c:pt idx="25">
                  <c:v>2.3923444976076791E-2</c:v>
                </c:pt>
                <c:pt idx="26">
                  <c:v>1.9148936170212627E-2</c:v>
                </c:pt>
                <c:pt idx="27">
                  <c:v>0.18090909090909091</c:v>
                </c:pt>
                <c:pt idx="28">
                  <c:v>0.1333333333333333</c:v>
                </c:pt>
                <c:pt idx="29">
                  <c:v>0.23762376237623761</c:v>
                </c:pt>
                <c:pt idx="30">
                  <c:v>0.42245989304812825</c:v>
                </c:pt>
                <c:pt idx="31">
                  <c:v>0.26818181818181808</c:v>
                </c:pt>
                <c:pt idx="32">
                  <c:v>0.22135416666666674</c:v>
                </c:pt>
                <c:pt idx="33">
                  <c:v>0.13654618473895574</c:v>
                </c:pt>
                <c:pt idx="34">
                  <c:v>0.26249999999999996</c:v>
                </c:pt>
                <c:pt idx="35">
                  <c:v>5.2173913043478404E-2</c:v>
                </c:pt>
                <c:pt idx="36">
                  <c:v>0.23031496062992129</c:v>
                </c:pt>
                <c:pt idx="37">
                  <c:v>2.5404157043879882E-2</c:v>
                </c:pt>
                <c:pt idx="38">
                  <c:v>0.60194174757281571</c:v>
                </c:pt>
                <c:pt idx="39">
                  <c:v>0.58723404255319145</c:v>
                </c:pt>
                <c:pt idx="40">
                  <c:v>0.25161073825503366</c:v>
                </c:pt>
                <c:pt idx="41">
                  <c:v>0.16891891891891886</c:v>
                </c:pt>
                <c:pt idx="42">
                  <c:v>9.8901098901098994E-2</c:v>
                </c:pt>
                <c:pt idx="43">
                  <c:v>2.6824324324324325</c:v>
                </c:pt>
                <c:pt idx="44">
                  <c:v>0.76470588235294135</c:v>
                </c:pt>
                <c:pt idx="45">
                  <c:v>1.3289036544850585E-2</c:v>
                </c:pt>
                <c:pt idx="46">
                  <c:v>1.0472103004291844</c:v>
                </c:pt>
                <c:pt idx="47">
                  <c:v>0.60919540229885039</c:v>
                </c:pt>
                <c:pt idx="48">
                  <c:v>0.16363636363636358</c:v>
                </c:pt>
                <c:pt idx="49">
                  <c:v>0.70434306569343064</c:v>
                </c:pt>
                <c:pt idx="50">
                  <c:v>1.1710526315789473</c:v>
                </c:pt>
                <c:pt idx="51">
                  <c:v>2.4691358024691468E-2</c:v>
                </c:pt>
                <c:pt idx="52">
                  <c:v>8.0873786407766985</c:v>
                </c:pt>
                <c:pt idx="53">
                  <c:v>9.3301435406698774E-2</c:v>
                </c:pt>
                <c:pt idx="54">
                  <c:v>0.38797814207650272</c:v>
                </c:pt>
                <c:pt idx="55">
                  <c:v>9.0163934426229719E-2</c:v>
                </c:pt>
                <c:pt idx="56">
                  <c:v>5.2837573385518422E-2</c:v>
                </c:pt>
                <c:pt idx="57">
                  <c:v>0.2222222222222221</c:v>
                </c:pt>
                <c:pt idx="58">
                  <c:v>1.754385964912264E-2</c:v>
                </c:pt>
                <c:pt idx="59">
                  <c:v>0</c:v>
                </c:pt>
                <c:pt idx="60">
                  <c:v>6.4628099173553721E-2</c:v>
                </c:pt>
                <c:pt idx="61">
                  <c:v>0.26400000000000001</c:v>
                </c:pt>
                <c:pt idx="62">
                  <c:v>0</c:v>
                </c:pt>
                <c:pt idx="63">
                  <c:v>0</c:v>
                </c:pt>
                <c:pt idx="64">
                  <c:v>0.41032608695652173</c:v>
                </c:pt>
                <c:pt idx="65">
                  <c:v>9.8265895953757232E-2</c:v>
                </c:pt>
                <c:pt idx="66">
                  <c:v>0.24657534246575352</c:v>
                </c:pt>
                <c:pt idx="67">
                  <c:v>0.58634538152610438</c:v>
                </c:pt>
                <c:pt idx="68">
                  <c:v>0.31525423728813551</c:v>
                </c:pt>
                <c:pt idx="69">
                  <c:v>0.88461538461538458</c:v>
                </c:pt>
                <c:pt idx="70">
                  <c:v>0.51785714285714257</c:v>
                </c:pt>
                <c:pt idx="71">
                  <c:v>1.7304964539007095</c:v>
                </c:pt>
                <c:pt idx="72">
                  <c:v>0.75428571428571423</c:v>
                </c:pt>
                <c:pt idx="73">
                  <c:v>11.380191693290735</c:v>
                </c:pt>
                <c:pt idx="74">
                  <c:v>1.3763157894736842</c:v>
                </c:pt>
                <c:pt idx="75">
                  <c:v>0.34928229665071764</c:v>
                </c:pt>
                <c:pt idx="76">
                  <c:v>0.13140604467805517</c:v>
                </c:pt>
                <c:pt idx="77">
                  <c:v>5.4545454545454675E-2</c:v>
                </c:pt>
                <c:pt idx="78">
                  <c:v>0.29875518672199153</c:v>
                </c:pt>
                <c:pt idx="79">
                  <c:v>0.17753623188405809</c:v>
                </c:pt>
                <c:pt idx="80">
                  <c:v>0.33377823408624208</c:v>
                </c:pt>
                <c:pt idx="81">
                  <c:v>0.65297450424929182</c:v>
                </c:pt>
                <c:pt idx="82">
                  <c:v>0.33725490196078445</c:v>
                </c:pt>
                <c:pt idx="83">
                  <c:v>0.3348623853211008</c:v>
                </c:pt>
                <c:pt idx="84">
                  <c:v>0.5095628415300546</c:v>
                </c:pt>
                <c:pt idx="85">
                  <c:v>1.5000000000000004</c:v>
                </c:pt>
                <c:pt idx="86">
                  <c:v>0.11111111111111116</c:v>
                </c:pt>
                <c:pt idx="87">
                  <c:v>1.5</c:v>
                </c:pt>
                <c:pt idx="88">
                  <c:v>0.66666666666666674</c:v>
                </c:pt>
                <c:pt idx="89">
                  <c:v>0.35511363636363624</c:v>
                </c:pt>
                <c:pt idx="90">
                  <c:v>0.14285714285714302</c:v>
                </c:pt>
                <c:pt idx="91">
                  <c:v>0.8333333333333337</c:v>
                </c:pt>
                <c:pt idx="92">
                  <c:v>0.14285714285714302</c:v>
                </c:pt>
                <c:pt idx="93">
                  <c:v>1.25</c:v>
                </c:pt>
                <c:pt idx="94">
                  <c:v>0.60000000000000009</c:v>
                </c:pt>
                <c:pt idx="95">
                  <c:v>0.90909090909090895</c:v>
                </c:pt>
                <c:pt idx="96">
                  <c:v>3.416666666666667</c:v>
                </c:pt>
                <c:pt idx="97">
                  <c:v>0.36363636363636354</c:v>
                </c:pt>
                <c:pt idx="98">
                  <c:v>1.6521739130434785</c:v>
                </c:pt>
                <c:pt idx="99">
                  <c:v>0.47368421052631571</c:v>
                </c:pt>
                <c:pt idx="100">
                  <c:v>0.25925925925925908</c:v>
                </c:pt>
                <c:pt idx="101">
                  <c:v>4.1640340218712026</c:v>
                </c:pt>
                <c:pt idx="102">
                  <c:v>1.8888888888888888</c:v>
                </c:pt>
                <c:pt idx="103">
                  <c:v>1.6175438596491225</c:v>
                </c:pt>
                <c:pt idx="104">
                  <c:v>0.18561872909698995</c:v>
                </c:pt>
                <c:pt idx="105">
                  <c:v>0.26434782608695651</c:v>
                </c:pt>
                <c:pt idx="106">
                  <c:v>0.78571428571428603</c:v>
                </c:pt>
                <c:pt idx="107">
                  <c:v>1.6875</c:v>
                </c:pt>
                <c:pt idx="108">
                  <c:v>0.41666666666666674</c:v>
                </c:pt>
                <c:pt idx="109">
                  <c:v>1.3611111111111112</c:v>
                </c:pt>
                <c:pt idx="110">
                  <c:v>1.3834586466165413</c:v>
                </c:pt>
                <c:pt idx="111">
                  <c:v>0.34545454545454546</c:v>
                </c:pt>
                <c:pt idx="112">
                  <c:v>0.28779342723004686</c:v>
                </c:pt>
                <c:pt idx="113">
                  <c:v>0.17064516129032259</c:v>
                </c:pt>
                <c:pt idx="114">
                  <c:v>0.41564705882352948</c:v>
                </c:pt>
                <c:pt idx="115">
                  <c:v>0.35999999999999988</c:v>
                </c:pt>
                <c:pt idx="116">
                  <c:v>0.42004773269689721</c:v>
                </c:pt>
                <c:pt idx="117">
                  <c:v>0.52173913043478271</c:v>
                </c:pt>
                <c:pt idx="118">
                  <c:v>0.18518518518518512</c:v>
                </c:pt>
                <c:pt idx="119">
                  <c:v>0.12426035502958577</c:v>
                </c:pt>
                <c:pt idx="120">
                  <c:v>0.77499999999999991</c:v>
                </c:pt>
                <c:pt idx="121">
                  <c:v>0.17647058823529416</c:v>
                </c:pt>
                <c:pt idx="122">
                  <c:v>0.28571428571428559</c:v>
                </c:pt>
                <c:pt idx="123">
                  <c:v>1</c:v>
                </c:pt>
                <c:pt idx="124">
                  <c:v>1.1363636363636362</c:v>
                </c:pt>
                <c:pt idx="125">
                  <c:v>0.36956521739130421</c:v>
                </c:pt>
                <c:pt idx="126">
                  <c:v>9.0579710144927494E-2</c:v>
                </c:pt>
                <c:pt idx="127">
                  <c:v>0.32743362831858414</c:v>
                </c:pt>
                <c:pt idx="128">
                  <c:v>1.9238329238329235</c:v>
                </c:pt>
                <c:pt idx="129">
                  <c:v>0.47058823529411753</c:v>
                </c:pt>
                <c:pt idx="130">
                  <c:v>0.44444444444444442</c:v>
                </c:pt>
                <c:pt idx="131">
                  <c:v>0.25839416058394149</c:v>
                </c:pt>
                <c:pt idx="132">
                  <c:v>0.40298507462686572</c:v>
                </c:pt>
                <c:pt idx="133">
                  <c:v>0.30097087378640786</c:v>
                </c:pt>
                <c:pt idx="134">
                  <c:v>0.10596026490066213</c:v>
                </c:pt>
                <c:pt idx="135">
                  <c:v>0.10270270270270276</c:v>
                </c:pt>
                <c:pt idx="136">
                  <c:v>0.1160714285714286</c:v>
                </c:pt>
                <c:pt idx="137">
                  <c:v>0.1734693877551019</c:v>
                </c:pt>
                <c:pt idx="138">
                  <c:v>2.2857142857142856</c:v>
                </c:pt>
                <c:pt idx="139">
                  <c:v>0.12337662337662336</c:v>
                </c:pt>
                <c:pt idx="140">
                  <c:v>0.21739130434782616</c:v>
                </c:pt>
                <c:pt idx="141">
                  <c:v>0.40697674418604657</c:v>
                </c:pt>
                <c:pt idx="142">
                  <c:v>0.12250000000000005</c:v>
                </c:pt>
                <c:pt idx="143">
                  <c:v>0.15294117647058836</c:v>
                </c:pt>
                <c:pt idx="144">
                  <c:v>7.5268817204301008E-2</c:v>
                </c:pt>
                <c:pt idx="145">
                  <c:v>0.12127272727272742</c:v>
                </c:pt>
                <c:pt idx="146">
                  <c:v>0.11999999999999988</c:v>
                </c:pt>
                <c:pt idx="147">
                  <c:v>0.31275720164609044</c:v>
                </c:pt>
                <c:pt idx="148">
                  <c:v>0.18333333333333335</c:v>
                </c:pt>
                <c:pt idx="149">
                  <c:v>0.21246458923512757</c:v>
                </c:pt>
                <c:pt idx="150">
                  <c:v>0.51291512915129145</c:v>
                </c:pt>
                <c:pt idx="151">
                  <c:v>13.815217391304348</c:v>
                </c:pt>
                <c:pt idx="152">
                  <c:v>0.46370967741935476</c:v>
                </c:pt>
                <c:pt idx="153">
                  <c:v>1.9753086419753041E-2</c:v>
                </c:pt>
                <c:pt idx="154">
                  <c:v>0</c:v>
                </c:pt>
                <c:pt idx="155">
                  <c:v>5.4545454545454453E-2</c:v>
                </c:pt>
                <c:pt idx="156">
                  <c:v>0.27483443708609268</c:v>
                </c:pt>
                <c:pt idx="157">
                  <c:v>0.1150442477876108</c:v>
                </c:pt>
                <c:pt idx="158">
                  <c:v>9.3023255813953654E-2</c:v>
                </c:pt>
                <c:pt idx="159">
                  <c:v>0.34545454545454546</c:v>
                </c:pt>
                <c:pt idx="160">
                  <c:v>0.48258706467661705</c:v>
                </c:pt>
                <c:pt idx="161">
                  <c:v>1.2318840579710146</c:v>
                </c:pt>
                <c:pt idx="162">
                  <c:v>0.14572864321608026</c:v>
                </c:pt>
                <c:pt idx="163">
                  <c:v>4.8780487804878092E-3</c:v>
                </c:pt>
                <c:pt idx="164">
                  <c:v>0</c:v>
                </c:pt>
                <c:pt idx="165">
                  <c:v>0.72321428571428559</c:v>
                </c:pt>
                <c:pt idx="166">
                  <c:v>1.0869565217391353E-2</c:v>
                </c:pt>
                <c:pt idx="167">
                  <c:v>2.1582733812949728E-2</c:v>
                </c:pt>
                <c:pt idx="168">
                  <c:v>1.1249999999999982E-2</c:v>
                </c:pt>
                <c:pt idx="169">
                  <c:v>0</c:v>
                </c:pt>
                <c:pt idx="170">
                  <c:v>0.17669172932330812</c:v>
                </c:pt>
                <c:pt idx="171">
                  <c:v>2</c:v>
                </c:pt>
                <c:pt idx="172">
                  <c:v>0.21072796934865901</c:v>
                </c:pt>
                <c:pt idx="173">
                  <c:v>0.55967450271247743</c:v>
                </c:pt>
                <c:pt idx="174">
                  <c:v>0.36931216931216926</c:v>
                </c:pt>
                <c:pt idx="175">
                  <c:v>0.76026634382566582</c:v>
                </c:pt>
                <c:pt idx="176">
                  <c:v>0.67571059431524549</c:v>
                </c:pt>
                <c:pt idx="177">
                  <c:v>2.6907563025210086</c:v>
                </c:pt>
                <c:pt idx="178">
                  <c:v>9.7625329815303363E-2</c:v>
                </c:pt>
                <c:pt idx="179">
                  <c:v>0.19024390243902456</c:v>
                </c:pt>
                <c:pt idx="180">
                  <c:v>0.66137566137566162</c:v>
                </c:pt>
                <c:pt idx="181">
                  <c:v>0.81777777777777771</c:v>
                </c:pt>
                <c:pt idx="182">
                  <c:v>0</c:v>
                </c:pt>
                <c:pt idx="183">
                  <c:v>0.1408839779005524</c:v>
                </c:pt>
                <c:pt idx="184">
                  <c:v>4.9019607843137081E-3</c:v>
                </c:pt>
                <c:pt idx="185">
                  <c:v>0.46415094339622653</c:v>
                </c:pt>
                <c:pt idx="186">
                  <c:v>0.2975000000000001</c:v>
                </c:pt>
                <c:pt idx="187">
                  <c:v>0.17153284671532831</c:v>
                </c:pt>
                <c:pt idx="188">
                  <c:v>1.3783783783783785</c:v>
                </c:pt>
                <c:pt idx="189">
                  <c:v>1.3661971830985919</c:v>
                </c:pt>
                <c:pt idx="190">
                  <c:v>3.125</c:v>
                </c:pt>
                <c:pt idx="191">
                  <c:v>1.1086956521739131</c:v>
                </c:pt>
                <c:pt idx="192">
                  <c:v>0</c:v>
                </c:pt>
                <c:pt idx="193">
                  <c:v>2.2833333333333332</c:v>
                </c:pt>
                <c:pt idx="194">
                  <c:v>0.66666666666666674</c:v>
                </c:pt>
                <c:pt idx="195">
                  <c:v>4.5555555555555554</c:v>
                </c:pt>
                <c:pt idx="196">
                  <c:v>0.14999999999999991</c:v>
                </c:pt>
                <c:pt idx="197">
                  <c:v>1.5384615384615388</c:v>
                </c:pt>
                <c:pt idx="198">
                  <c:v>1.8333333333333335</c:v>
                </c:pt>
                <c:pt idx="199">
                  <c:v>1.6315789473684212</c:v>
                </c:pt>
                <c:pt idx="200">
                  <c:v>0.53125</c:v>
                </c:pt>
                <c:pt idx="201">
                  <c:v>0.26301369863013702</c:v>
                </c:pt>
                <c:pt idx="202">
                  <c:v>0.97584541062801944</c:v>
                </c:pt>
                <c:pt idx="203">
                  <c:v>0.68981481481481466</c:v>
                </c:pt>
                <c:pt idx="204">
                  <c:v>0.63934426229508223</c:v>
                </c:pt>
                <c:pt idx="205">
                  <c:v>0.4137931034482758</c:v>
                </c:pt>
                <c:pt idx="206">
                  <c:v>0.82608695652173902</c:v>
                </c:pt>
                <c:pt idx="207">
                  <c:v>0.11127819548872186</c:v>
                </c:pt>
                <c:pt idx="208">
                  <c:v>1.1510791366906479</c:v>
                </c:pt>
                <c:pt idx="209">
                  <c:v>0.18500000000000005</c:v>
                </c:pt>
                <c:pt idx="210">
                  <c:v>15.111111111111111</c:v>
                </c:pt>
                <c:pt idx="211">
                  <c:v>8.6153846153846168</c:v>
                </c:pt>
                <c:pt idx="212">
                  <c:v>3.986522911051213</c:v>
                </c:pt>
                <c:pt idx="213">
                  <c:v>0.59375</c:v>
                </c:pt>
                <c:pt idx="214">
                  <c:v>4.4629629629629628</c:v>
                </c:pt>
                <c:pt idx="215">
                  <c:v>105.25</c:v>
                </c:pt>
                <c:pt idx="216">
                  <c:v>11.546558704453439</c:v>
                </c:pt>
                <c:pt idx="217">
                  <c:v>0.23595505617977519</c:v>
                </c:pt>
                <c:pt idx="218">
                  <c:v>0.679245283018868</c:v>
                </c:pt>
                <c:pt idx="219">
                  <c:v>0.15202797202797202</c:v>
                </c:pt>
                <c:pt idx="220">
                  <c:v>0.23123123123123102</c:v>
                </c:pt>
                <c:pt idx="221">
                  <c:v>0.5</c:v>
                </c:pt>
                <c:pt idx="222">
                  <c:v>3.4158878504672892</c:v>
                </c:pt>
                <c:pt idx="223">
                  <c:v>1.1862745098039214</c:v>
                </c:pt>
                <c:pt idx="224">
                  <c:v>1.3160919540229887</c:v>
                </c:pt>
                <c:pt idx="225">
                  <c:v>0.89922480620155043</c:v>
                </c:pt>
                <c:pt idx="226">
                  <c:v>1.7631578947368425</c:v>
                </c:pt>
                <c:pt idx="227">
                  <c:v>4.7002881844380404</c:v>
                </c:pt>
                <c:pt idx="228">
                  <c:v>0.49769585253456228</c:v>
                </c:pt>
                <c:pt idx="229">
                  <c:v>0.72</c:v>
                </c:pt>
                <c:pt idx="230">
                  <c:v>0.68831168831168821</c:v>
                </c:pt>
                <c:pt idx="231">
                  <c:v>1.5978835978835981</c:v>
                </c:pt>
                <c:pt idx="232">
                  <c:v>3.7222222222222223</c:v>
                </c:pt>
                <c:pt idx="233">
                  <c:v>0.9576719576719579</c:v>
                </c:pt>
                <c:pt idx="234">
                  <c:v>0.4049586776859504</c:v>
                </c:pt>
                <c:pt idx="235">
                  <c:v>0.97169811320754684</c:v>
                </c:pt>
                <c:pt idx="236">
                  <c:v>0.91089108910891081</c:v>
                </c:pt>
                <c:pt idx="237">
                  <c:v>6.584269662921348</c:v>
                </c:pt>
                <c:pt idx="238">
                  <c:v>1.6774193548387095</c:v>
                </c:pt>
                <c:pt idx="239">
                  <c:v>1.5347222222222223</c:v>
                </c:pt>
                <c:pt idx="240">
                  <c:v>0.68217054263565879</c:v>
                </c:pt>
                <c:pt idx="241">
                  <c:v>1.0112359550561796</c:v>
                </c:pt>
                <c:pt idx="242">
                  <c:v>1.5906735751295336</c:v>
                </c:pt>
                <c:pt idx="243">
                  <c:v>7.7601078167115904</c:v>
                </c:pt>
                <c:pt idx="244">
                  <c:v>2.1962616822429903</c:v>
                </c:pt>
                <c:pt idx="245">
                  <c:v>0.77894736842105261</c:v>
                </c:pt>
                <c:pt idx="246">
                  <c:v>11.980952380952381</c:v>
                </c:pt>
                <c:pt idx="247">
                  <c:v>0.393877551020408</c:v>
                </c:pt>
                <c:pt idx="248">
                  <c:v>1.9636363636363634</c:v>
                </c:pt>
                <c:pt idx="249">
                  <c:v>1.4308943089430897</c:v>
                </c:pt>
                <c:pt idx="250">
                  <c:v>5.8775510204081636</c:v>
                </c:pt>
                <c:pt idx="251">
                  <c:v>8.3117408906882595</c:v>
                </c:pt>
                <c:pt idx="252">
                  <c:v>5.6412213740458004</c:v>
                </c:pt>
                <c:pt idx="253">
                  <c:v>4.522388059701492</c:v>
                </c:pt>
                <c:pt idx="254">
                  <c:v>3.0437158469945356</c:v>
                </c:pt>
                <c:pt idx="255">
                  <c:v>0.43611111111111112</c:v>
                </c:pt>
                <c:pt idx="256">
                  <c:v>2.2653061224489797</c:v>
                </c:pt>
                <c:pt idx="257">
                  <c:v>0.16630669546436305</c:v>
                </c:pt>
                <c:pt idx="258">
                  <c:v>1.158311345646438</c:v>
                </c:pt>
                <c:pt idx="259">
                  <c:v>3.8675373134328357</c:v>
                </c:pt>
                <c:pt idx="260">
                  <c:v>0.96722408026755824</c:v>
                </c:pt>
                <c:pt idx="261">
                  <c:v>4.8391959798994968</c:v>
                </c:pt>
                <c:pt idx="262">
                  <c:v>0.41295546558704443</c:v>
                </c:pt>
                <c:pt idx="263">
                  <c:v>1.2592592592592591</c:v>
                </c:pt>
                <c:pt idx="264">
                  <c:v>3.9610389610389607</c:v>
                </c:pt>
                <c:pt idx="265">
                  <c:v>3.179347826086957</c:v>
                </c:pt>
                <c:pt idx="266">
                  <c:v>1535.9230769230771</c:v>
                </c:pt>
                <c:pt idx="267">
                  <c:v>2.2083333333333335</c:v>
                </c:pt>
                <c:pt idx="268">
                  <c:v>4.957243816254417</c:v>
                </c:pt>
                <c:pt idx="269">
                  <c:v>1.8192771084337349</c:v>
                </c:pt>
                <c:pt idx="270">
                  <c:v>1.2967032967032965</c:v>
                </c:pt>
                <c:pt idx="271">
                  <c:v>0.5490196078431373</c:v>
                </c:pt>
                <c:pt idx="272">
                  <c:v>1.552204176334107</c:v>
                </c:pt>
                <c:pt idx="273">
                  <c:v>2.1554054054054053</c:v>
                </c:pt>
                <c:pt idx="274">
                  <c:v>0.85813953488372108</c:v>
                </c:pt>
                <c:pt idx="275">
                  <c:v>1.7540983606557377</c:v>
                </c:pt>
                <c:pt idx="276">
                  <c:v>1.2021276595744679</c:v>
                </c:pt>
                <c:pt idx="277">
                  <c:v>1.7307692307692304</c:v>
                </c:pt>
                <c:pt idx="278">
                  <c:v>1.2576112412177989</c:v>
                </c:pt>
                <c:pt idx="279">
                  <c:v>3.1847133757961785</c:v>
                </c:pt>
                <c:pt idx="280">
                  <c:v>1.9661016949152543</c:v>
                </c:pt>
                <c:pt idx="281">
                  <c:v>10.627118644067798</c:v>
                </c:pt>
                <c:pt idx="282">
                  <c:v>1.8767123287671232</c:v>
                </c:pt>
                <c:pt idx="283">
                  <c:v>1.5906735751295336</c:v>
                </c:pt>
                <c:pt idx="284">
                  <c:v>26.051724137931036</c:v>
                </c:pt>
                <c:pt idx="285">
                  <c:v>57.817460317460316</c:v>
                </c:pt>
                <c:pt idx="286">
                  <c:v>5.4189189189189184</c:v>
                </c:pt>
                <c:pt idx="287">
                  <c:v>0.94945848375451281</c:v>
                </c:pt>
                <c:pt idx="288">
                  <c:v>11.773722627737225</c:v>
                </c:pt>
                <c:pt idx="289">
                  <c:v>0.35463258785942497</c:v>
                </c:pt>
                <c:pt idx="290">
                  <c:v>2.9740740740740739</c:v>
                </c:pt>
                <c:pt idx="291">
                  <c:v>39.361990950226243</c:v>
                </c:pt>
                <c:pt idx="292">
                  <c:v>0.95945945945945943</c:v>
                </c:pt>
                <c:pt idx="293">
                  <c:v>2.0627450980392159</c:v>
                </c:pt>
                <c:pt idx="294">
                  <c:v>1.1494252873563218</c:v>
                </c:pt>
                <c:pt idx="295">
                  <c:v>2.5542168674698797</c:v>
                </c:pt>
                <c:pt idx="296">
                  <c:v>3.9459459459459465</c:v>
                </c:pt>
                <c:pt idx="297">
                  <c:v>23.363636363636363</c:v>
                </c:pt>
                <c:pt idx="298">
                  <c:v>3.7767857142857135</c:v>
                </c:pt>
                <c:pt idx="299">
                  <c:v>26.897435897435898</c:v>
                </c:pt>
                <c:pt idx="300">
                  <c:v>4.2175438596491226</c:v>
                </c:pt>
                <c:pt idx="301">
                  <c:v>3.1516245487364625</c:v>
                </c:pt>
                <c:pt idx="302">
                  <c:v>1.943548387096774</c:v>
                </c:pt>
                <c:pt idx="303">
                  <c:v>2.2531400966183579</c:v>
                </c:pt>
                <c:pt idx="304">
                  <c:v>13.798850574712645</c:v>
                </c:pt>
                <c:pt idx="305">
                  <c:v>5.7407407407407405</c:v>
                </c:pt>
                <c:pt idx="306">
                  <c:v>0.5</c:v>
                </c:pt>
                <c:pt idx="307">
                  <c:v>177.1081081081081</c:v>
                </c:pt>
                <c:pt idx="308">
                  <c:v>10.212121212121211</c:v>
                </c:pt>
                <c:pt idx="309">
                  <c:v>0.33720930232558155</c:v>
                </c:pt>
                <c:pt idx="310">
                  <c:v>3.894327030033371</c:v>
                </c:pt>
                <c:pt idx="311">
                  <c:v>0.46627565982404717</c:v>
                </c:pt>
                <c:pt idx="312">
                  <c:v>186.64705882352942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2F-411A-8163-D221F3BC3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623999"/>
        <c:axId val="1744647295"/>
      </c:scatterChart>
      <c:valAx>
        <c:axId val="174462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to high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47295"/>
        <c:crosses val="autoZero"/>
        <c:crossBetween val="midCat"/>
      </c:valAx>
      <c:valAx>
        <c:axId val="17446472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%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2399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PeakVsFloat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PeakVsFloat</c:v>
          </c:tx>
          <c:spPr>
            <a:ln w="25400" cap="rnd">
              <a:noFill/>
              <a:prstDash val="solid"/>
            </a:ln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</c:marker>
          <c:xVal>
            <c:numRef>
              <c:f>Stocks!$P$6:$P$318</c:f>
              <c:numCache>
                <c:formatCode>#,##0</c:formatCode>
                <c:ptCount val="313"/>
                <c:pt idx="0">
                  <c:v>9210000</c:v>
                </c:pt>
                <c:pt idx="1">
                  <c:v>3920000</c:v>
                </c:pt>
                <c:pt idx="2">
                  <c:v>12030000</c:v>
                </c:pt>
                <c:pt idx="3">
                  <c:v>29650000</c:v>
                </c:pt>
                <c:pt idx="4">
                  <c:v>55380000</c:v>
                </c:pt>
                <c:pt idx="5">
                  <c:v>4260000</c:v>
                </c:pt>
                <c:pt idx="6">
                  <c:v>9510000</c:v>
                </c:pt>
                <c:pt idx="7">
                  <c:v>29770000</c:v>
                </c:pt>
                <c:pt idx="8">
                  <c:v>5650000</c:v>
                </c:pt>
                <c:pt idx="9">
                  <c:v>21730000</c:v>
                </c:pt>
                <c:pt idx="10">
                  <c:v>12370000</c:v>
                </c:pt>
                <c:pt idx="11">
                  <c:v>45240000</c:v>
                </c:pt>
                <c:pt idx="12">
                  <c:v>11690000</c:v>
                </c:pt>
                <c:pt idx="13">
                  <c:v>10390000</c:v>
                </c:pt>
                <c:pt idx="14">
                  <c:v>4850000</c:v>
                </c:pt>
                <c:pt idx="15">
                  <c:v>11000000</c:v>
                </c:pt>
                <c:pt idx="17">
                  <c:v>123170000</c:v>
                </c:pt>
                <c:pt idx="18">
                  <c:v>2480000</c:v>
                </c:pt>
                <c:pt idx="19">
                  <c:v>14320000</c:v>
                </c:pt>
                <c:pt idx="20">
                  <c:v>33350000</c:v>
                </c:pt>
                <c:pt idx="21">
                  <c:v>3200000</c:v>
                </c:pt>
                <c:pt idx="22">
                  <c:v>34120000</c:v>
                </c:pt>
                <c:pt idx="24">
                  <c:v>3950000</c:v>
                </c:pt>
                <c:pt idx="25">
                  <c:v>7380000</c:v>
                </c:pt>
                <c:pt idx="26">
                  <c:v>1670000</c:v>
                </c:pt>
                <c:pt idx="27">
                  <c:v>7370000</c:v>
                </c:pt>
                <c:pt idx="28">
                  <c:v>54830000</c:v>
                </c:pt>
                <c:pt idx="29">
                  <c:v>45290000</c:v>
                </c:pt>
                <c:pt idx="30">
                  <c:v>2870000</c:v>
                </c:pt>
                <c:pt idx="31">
                  <c:v>8970000</c:v>
                </c:pt>
                <c:pt idx="32">
                  <c:v>9600000</c:v>
                </c:pt>
                <c:pt idx="33">
                  <c:v>19330000</c:v>
                </c:pt>
                <c:pt idx="34">
                  <c:v>77130000</c:v>
                </c:pt>
                <c:pt idx="35">
                  <c:v>40060000</c:v>
                </c:pt>
                <c:pt idx="36">
                  <c:v>520000</c:v>
                </c:pt>
                <c:pt idx="37">
                  <c:v>13400000</c:v>
                </c:pt>
                <c:pt idx="38">
                  <c:v>8740000</c:v>
                </c:pt>
                <c:pt idx="39">
                  <c:v>18800000</c:v>
                </c:pt>
                <c:pt idx="40">
                  <c:v>4540000</c:v>
                </c:pt>
                <c:pt idx="41">
                  <c:v>63200000</c:v>
                </c:pt>
                <c:pt idx="42">
                  <c:v>7220000</c:v>
                </c:pt>
                <c:pt idx="43">
                  <c:v>35120000</c:v>
                </c:pt>
                <c:pt idx="45">
                  <c:v>4740000</c:v>
                </c:pt>
                <c:pt idx="46">
                  <c:v>3270000</c:v>
                </c:pt>
                <c:pt idx="47">
                  <c:v>19340000</c:v>
                </c:pt>
                <c:pt idx="48">
                  <c:v>147890000</c:v>
                </c:pt>
                <c:pt idx="49">
                  <c:v>4650000</c:v>
                </c:pt>
                <c:pt idx="50">
                  <c:v>9520000</c:v>
                </c:pt>
                <c:pt idx="51">
                  <c:v>7170000</c:v>
                </c:pt>
                <c:pt idx="52">
                  <c:v>141830000</c:v>
                </c:pt>
                <c:pt idx="53">
                  <c:v>5650000</c:v>
                </c:pt>
                <c:pt idx="54">
                  <c:v>12030000</c:v>
                </c:pt>
                <c:pt idx="55">
                  <c:v>360000</c:v>
                </c:pt>
                <c:pt idx="56">
                  <c:v>5810000</c:v>
                </c:pt>
                <c:pt idx="57">
                  <c:v>6200000</c:v>
                </c:pt>
                <c:pt idx="58">
                  <c:v>7540000</c:v>
                </c:pt>
                <c:pt idx="59">
                  <c:v>8710000</c:v>
                </c:pt>
                <c:pt idx="60">
                  <c:v>21550000</c:v>
                </c:pt>
                <c:pt idx="61">
                  <c:v>24970000</c:v>
                </c:pt>
                <c:pt idx="62">
                  <c:v>32230000</c:v>
                </c:pt>
                <c:pt idx="63">
                  <c:v>41410000</c:v>
                </c:pt>
                <c:pt idx="65">
                  <c:v>22840000</c:v>
                </c:pt>
                <c:pt idx="66">
                  <c:v>44280000</c:v>
                </c:pt>
                <c:pt idx="67">
                  <c:v>45180000</c:v>
                </c:pt>
                <c:pt idx="68">
                  <c:v>21730000</c:v>
                </c:pt>
                <c:pt idx="69">
                  <c:v>47690000</c:v>
                </c:pt>
                <c:pt idx="70">
                  <c:v>11790000</c:v>
                </c:pt>
                <c:pt idx="71">
                  <c:v>2180000</c:v>
                </c:pt>
                <c:pt idx="72">
                  <c:v>2380000</c:v>
                </c:pt>
                <c:pt idx="73">
                  <c:v>3770000</c:v>
                </c:pt>
                <c:pt idx="74">
                  <c:v>6620000</c:v>
                </c:pt>
                <c:pt idx="75">
                  <c:v>6790000</c:v>
                </c:pt>
                <c:pt idx="76">
                  <c:v>12510000</c:v>
                </c:pt>
                <c:pt idx="77">
                  <c:v>15850000</c:v>
                </c:pt>
                <c:pt idx="78">
                  <c:v>18740000</c:v>
                </c:pt>
                <c:pt idx="79">
                  <c:v>25910000</c:v>
                </c:pt>
                <c:pt idx="80">
                  <c:v>448560000</c:v>
                </c:pt>
                <c:pt idx="81">
                  <c:v>20180000</c:v>
                </c:pt>
                <c:pt idx="82">
                  <c:v>5600000</c:v>
                </c:pt>
                <c:pt idx="83">
                  <c:v>6050000</c:v>
                </c:pt>
                <c:pt idx="84">
                  <c:v>192500000</c:v>
                </c:pt>
                <c:pt idx="89">
                  <c:v>37380000</c:v>
                </c:pt>
                <c:pt idx="101">
                  <c:v>560000</c:v>
                </c:pt>
                <c:pt idx="102">
                  <c:v>7900000</c:v>
                </c:pt>
                <c:pt idx="103">
                  <c:v>11110000</c:v>
                </c:pt>
                <c:pt idx="104">
                  <c:v>13920000</c:v>
                </c:pt>
                <c:pt idx="105">
                  <c:v>26750000</c:v>
                </c:pt>
                <c:pt idx="110">
                  <c:v>3570000</c:v>
                </c:pt>
                <c:pt idx="111">
                  <c:v>7800000</c:v>
                </c:pt>
                <c:pt idx="112">
                  <c:v>11600000</c:v>
                </c:pt>
                <c:pt idx="113">
                  <c:v>12420000</c:v>
                </c:pt>
                <c:pt idx="114">
                  <c:v>13050000</c:v>
                </c:pt>
                <c:pt idx="116">
                  <c:v>8510000</c:v>
                </c:pt>
                <c:pt idx="117">
                  <c:v>10280000</c:v>
                </c:pt>
                <c:pt idx="118">
                  <c:v>11550000</c:v>
                </c:pt>
                <c:pt idx="119">
                  <c:v>22840000</c:v>
                </c:pt>
                <c:pt idx="120">
                  <c:v>81070000</c:v>
                </c:pt>
                <c:pt idx="126">
                  <c:v>575870000</c:v>
                </c:pt>
                <c:pt idx="131">
                  <c:v>70160000</c:v>
                </c:pt>
                <c:pt idx="133">
                  <c:v>13460000</c:v>
                </c:pt>
                <c:pt idx="134">
                  <c:v>42610000</c:v>
                </c:pt>
                <c:pt idx="135">
                  <c:v>129340000</c:v>
                </c:pt>
                <c:pt idx="136">
                  <c:v>11450000</c:v>
                </c:pt>
                <c:pt idx="137">
                  <c:v>3090000</c:v>
                </c:pt>
                <c:pt idx="139">
                  <c:v>10080000</c:v>
                </c:pt>
                <c:pt idx="140">
                  <c:v>41050000</c:v>
                </c:pt>
                <c:pt idx="141">
                  <c:v>82540000</c:v>
                </c:pt>
                <c:pt idx="142">
                  <c:v>200000</c:v>
                </c:pt>
                <c:pt idx="143">
                  <c:v>3770000</c:v>
                </c:pt>
                <c:pt idx="144">
                  <c:v>5430000</c:v>
                </c:pt>
                <c:pt idx="145">
                  <c:v>22340000</c:v>
                </c:pt>
                <c:pt idx="146">
                  <c:v>9820000</c:v>
                </c:pt>
                <c:pt idx="147">
                  <c:v>2350000</c:v>
                </c:pt>
                <c:pt idx="148">
                  <c:v>4980000</c:v>
                </c:pt>
                <c:pt idx="149">
                  <c:v>7170000</c:v>
                </c:pt>
                <c:pt idx="150">
                  <c:v>7670000</c:v>
                </c:pt>
                <c:pt idx="151">
                  <c:v>9860000</c:v>
                </c:pt>
                <c:pt idx="152">
                  <c:v>10070000</c:v>
                </c:pt>
                <c:pt idx="153">
                  <c:v>11230000</c:v>
                </c:pt>
                <c:pt idx="154">
                  <c:v>11500000</c:v>
                </c:pt>
                <c:pt idx="155">
                  <c:v>32320000</c:v>
                </c:pt>
                <c:pt idx="156">
                  <c:v>41770000</c:v>
                </c:pt>
                <c:pt idx="157">
                  <c:v>42610000</c:v>
                </c:pt>
                <c:pt idx="158">
                  <c:v>67190000</c:v>
                </c:pt>
                <c:pt idx="159">
                  <c:v>7800000</c:v>
                </c:pt>
                <c:pt idx="160">
                  <c:v>41050000</c:v>
                </c:pt>
                <c:pt idx="161">
                  <c:v>2180000</c:v>
                </c:pt>
                <c:pt idx="162">
                  <c:v>11960000</c:v>
                </c:pt>
                <c:pt idx="163">
                  <c:v>13410000</c:v>
                </c:pt>
                <c:pt idx="164">
                  <c:v>14350000</c:v>
                </c:pt>
                <c:pt idx="165">
                  <c:v>31220000</c:v>
                </c:pt>
                <c:pt idx="166">
                  <c:v>38020000</c:v>
                </c:pt>
                <c:pt idx="167">
                  <c:v>82540000</c:v>
                </c:pt>
                <c:pt idx="168">
                  <c:v>92770000</c:v>
                </c:pt>
                <c:pt idx="169">
                  <c:v>123760000</c:v>
                </c:pt>
                <c:pt idx="170">
                  <c:v>22840000</c:v>
                </c:pt>
                <c:pt idx="171">
                  <c:v>41940000</c:v>
                </c:pt>
                <c:pt idx="172">
                  <c:v>75440000</c:v>
                </c:pt>
                <c:pt idx="173">
                  <c:v>1200000</c:v>
                </c:pt>
                <c:pt idx="174">
                  <c:v>3830000</c:v>
                </c:pt>
                <c:pt idx="175">
                  <c:v>2220000</c:v>
                </c:pt>
                <c:pt idx="176">
                  <c:v>2380000</c:v>
                </c:pt>
                <c:pt idx="177">
                  <c:v>2570000</c:v>
                </c:pt>
                <c:pt idx="178">
                  <c:v>18800000</c:v>
                </c:pt>
                <c:pt idx="180">
                  <c:v>11550000</c:v>
                </c:pt>
                <c:pt idx="181">
                  <c:v>12210000</c:v>
                </c:pt>
                <c:pt idx="182">
                  <c:v>20130000</c:v>
                </c:pt>
                <c:pt idx="183">
                  <c:v>22510000</c:v>
                </c:pt>
                <c:pt idx="184">
                  <c:v>5540000</c:v>
                </c:pt>
                <c:pt idx="185">
                  <c:v>5680000</c:v>
                </c:pt>
                <c:pt idx="186">
                  <c:v>7050000</c:v>
                </c:pt>
                <c:pt idx="187">
                  <c:v>9100000</c:v>
                </c:pt>
                <c:pt idx="200">
                  <c:v>7540000</c:v>
                </c:pt>
                <c:pt idx="201">
                  <c:v>9170000</c:v>
                </c:pt>
                <c:pt idx="202">
                  <c:v>12210000</c:v>
                </c:pt>
                <c:pt idx="203">
                  <c:v>13410000</c:v>
                </c:pt>
                <c:pt idx="204">
                  <c:v>15930000</c:v>
                </c:pt>
                <c:pt idx="205">
                  <c:v>24970000</c:v>
                </c:pt>
                <c:pt idx="206">
                  <c:v>25130000</c:v>
                </c:pt>
                <c:pt idx="207">
                  <c:v>25760000</c:v>
                </c:pt>
                <c:pt idx="208">
                  <c:v>25900000</c:v>
                </c:pt>
                <c:pt idx="209">
                  <c:v>26430000</c:v>
                </c:pt>
                <c:pt idx="210">
                  <c:v>51110000</c:v>
                </c:pt>
                <c:pt idx="212">
                  <c:v>10510000</c:v>
                </c:pt>
                <c:pt idx="213">
                  <c:v>72410000</c:v>
                </c:pt>
                <c:pt idx="216">
                  <c:v>3690000</c:v>
                </c:pt>
                <c:pt idx="217">
                  <c:v>5430000</c:v>
                </c:pt>
                <c:pt idx="218">
                  <c:v>8930000</c:v>
                </c:pt>
                <c:pt idx="219">
                  <c:v>10210000</c:v>
                </c:pt>
                <c:pt idx="220">
                  <c:v>11450000</c:v>
                </c:pt>
                <c:pt idx="221">
                  <c:v>11480000</c:v>
                </c:pt>
                <c:pt idx="222">
                  <c:v>15100000</c:v>
                </c:pt>
                <c:pt idx="223">
                  <c:v>15290000</c:v>
                </c:pt>
                <c:pt idx="224">
                  <c:v>22340000</c:v>
                </c:pt>
                <c:pt idx="225">
                  <c:v>23720000</c:v>
                </c:pt>
                <c:pt idx="226">
                  <c:v>32230000</c:v>
                </c:pt>
                <c:pt idx="227">
                  <c:v>7380000</c:v>
                </c:pt>
                <c:pt idx="228">
                  <c:v>10210000</c:v>
                </c:pt>
                <c:pt idx="229">
                  <c:v>6460000</c:v>
                </c:pt>
                <c:pt idx="230">
                  <c:v>5300000</c:v>
                </c:pt>
                <c:pt idx="231">
                  <c:v>8710000</c:v>
                </c:pt>
                <c:pt idx="232">
                  <c:v>9820000</c:v>
                </c:pt>
                <c:pt idx="233">
                  <c:v>10080000</c:v>
                </c:pt>
                <c:pt idx="234">
                  <c:v>14450000</c:v>
                </c:pt>
                <c:pt idx="235">
                  <c:v>16000000</c:v>
                </c:pt>
                <c:pt idx="236">
                  <c:v>31220000</c:v>
                </c:pt>
                <c:pt idx="237">
                  <c:v>33350000</c:v>
                </c:pt>
                <c:pt idx="238">
                  <c:v>45380000</c:v>
                </c:pt>
                <c:pt idx="239">
                  <c:v>50840000</c:v>
                </c:pt>
                <c:pt idx="240">
                  <c:v>70160000</c:v>
                </c:pt>
                <c:pt idx="241">
                  <c:v>240000</c:v>
                </c:pt>
                <c:pt idx="242">
                  <c:v>4320000</c:v>
                </c:pt>
                <c:pt idx="243">
                  <c:v>5910000</c:v>
                </c:pt>
                <c:pt idx="244">
                  <c:v>6470000</c:v>
                </c:pt>
                <c:pt idx="245">
                  <c:v>6790000</c:v>
                </c:pt>
                <c:pt idx="246">
                  <c:v>9860000</c:v>
                </c:pt>
                <c:pt idx="247">
                  <c:v>19510000</c:v>
                </c:pt>
                <c:pt idx="248">
                  <c:v>19940000</c:v>
                </c:pt>
                <c:pt idx="249">
                  <c:v>25900000</c:v>
                </c:pt>
                <c:pt idx="250">
                  <c:v>55020000</c:v>
                </c:pt>
                <c:pt idx="252">
                  <c:v>1920000</c:v>
                </c:pt>
                <c:pt idx="253">
                  <c:v>4980000</c:v>
                </c:pt>
                <c:pt idx="254">
                  <c:v>5600000</c:v>
                </c:pt>
                <c:pt idx="255">
                  <c:v>7170000</c:v>
                </c:pt>
                <c:pt idx="256">
                  <c:v>7400000</c:v>
                </c:pt>
                <c:pt idx="257">
                  <c:v>9920000</c:v>
                </c:pt>
                <c:pt idx="258">
                  <c:v>11790000</c:v>
                </c:pt>
                <c:pt idx="259">
                  <c:v>13800000</c:v>
                </c:pt>
                <c:pt idx="260">
                  <c:v>21840000</c:v>
                </c:pt>
                <c:pt idx="261">
                  <c:v>25160000</c:v>
                </c:pt>
                <c:pt idx="262">
                  <c:v>35190000</c:v>
                </c:pt>
                <c:pt idx="263">
                  <c:v>42610000</c:v>
                </c:pt>
                <c:pt idx="264">
                  <c:v>57180000</c:v>
                </c:pt>
                <c:pt idx="265">
                  <c:v>60350000</c:v>
                </c:pt>
                <c:pt idx="267">
                  <c:v>2180000</c:v>
                </c:pt>
                <c:pt idx="268">
                  <c:v>5810000</c:v>
                </c:pt>
                <c:pt idx="269">
                  <c:v>15060000</c:v>
                </c:pt>
                <c:pt idx="270">
                  <c:v>16000000</c:v>
                </c:pt>
                <c:pt idx="271">
                  <c:v>26430000</c:v>
                </c:pt>
                <c:pt idx="272">
                  <c:v>29770000</c:v>
                </c:pt>
                <c:pt idx="273">
                  <c:v>37620000</c:v>
                </c:pt>
                <c:pt idx="274">
                  <c:v>49450000</c:v>
                </c:pt>
                <c:pt idx="275">
                  <c:v>85120000</c:v>
                </c:pt>
                <c:pt idx="276">
                  <c:v>41050000</c:v>
                </c:pt>
                <c:pt idx="277">
                  <c:v>2350000</c:v>
                </c:pt>
                <c:pt idx="278">
                  <c:v>3200000</c:v>
                </c:pt>
                <c:pt idx="279">
                  <c:v>5530000</c:v>
                </c:pt>
                <c:pt idx="280">
                  <c:v>15660000</c:v>
                </c:pt>
                <c:pt idx="281">
                  <c:v>18840000</c:v>
                </c:pt>
                <c:pt idx="282">
                  <c:v>25130000</c:v>
                </c:pt>
                <c:pt idx="283">
                  <c:v>40020000</c:v>
                </c:pt>
                <c:pt idx="284">
                  <c:v>275800000</c:v>
                </c:pt>
                <c:pt idx="285">
                  <c:v>6420000</c:v>
                </c:pt>
                <c:pt idx="287">
                  <c:v>4650000</c:v>
                </c:pt>
                <c:pt idx="288">
                  <c:v>4980000</c:v>
                </c:pt>
                <c:pt idx="289">
                  <c:v>7210000</c:v>
                </c:pt>
                <c:pt idx="290">
                  <c:v>6510000</c:v>
                </c:pt>
                <c:pt idx="291">
                  <c:v>8279999.9999999991</c:v>
                </c:pt>
                <c:pt idx="292">
                  <c:v>93630000</c:v>
                </c:pt>
                <c:pt idx="293">
                  <c:v>7820000</c:v>
                </c:pt>
                <c:pt idx="294">
                  <c:v>11450000</c:v>
                </c:pt>
                <c:pt idx="295">
                  <c:v>15420000</c:v>
                </c:pt>
                <c:pt idx="296">
                  <c:v>11790000</c:v>
                </c:pt>
                <c:pt idx="297">
                  <c:v>18800000</c:v>
                </c:pt>
                <c:pt idx="298">
                  <c:v>36430000</c:v>
                </c:pt>
                <c:pt idx="299">
                  <c:v>121430000</c:v>
                </c:pt>
                <c:pt idx="300">
                  <c:v>1890000</c:v>
                </c:pt>
                <c:pt idx="301">
                  <c:v>28900000</c:v>
                </c:pt>
                <c:pt idx="302">
                  <c:v>13410000</c:v>
                </c:pt>
                <c:pt idx="303">
                  <c:v>5840000</c:v>
                </c:pt>
              </c:numCache>
            </c:numRef>
          </c:xVal>
          <c:yVal>
            <c:numRef>
              <c:f>Stocks!$L$6:$L$318</c:f>
              <c:numCache>
                <c:formatCode>0.00%</c:formatCode>
                <c:ptCount val="313"/>
                <c:pt idx="0">
                  <c:v>0.10476190476190461</c:v>
                </c:pt>
                <c:pt idx="1">
                  <c:v>2.3041474654378113E-2</c:v>
                </c:pt>
                <c:pt idx="2">
                  <c:v>4.9342105263157965E-2</c:v>
                </c:pt>
                <c:pt idx="3">
                  <c:v>0.74725274725274726</c:v>
                </c:pt>
                <c:pt idx="4">
                  <c:v>3.01111111111112E-2</c:v>
                </c:pt>
                <c:pt idx="5">
                  <c:v>8.7499999999999911E-2</c:v>
                </c:pt>
                <c:pt idx="6">
                  <c:v>6.3780487804877994E-2</c:v>
                </c:pt>
                <c:pt idx="7">
                  <c:v>1.8774559743850894E-2</c:v>
                </c:pt>
                <c:pt idx="8">
                  <c:v>0.64655172413793105</c:v>
                </c:pt>
                <c:pt idx="9">
                  <c:v>7.6335877862594437E-3</c:v>
                </c:pt>
                <c:pt idx="10">
                  <c:v>6.3829787234042534E-2</c:v>
                </c:pt>
                <c:pt idx="11">
                  <c:v>0.29281767955801086</c:v>
                </c:pt>
                <c:pt idx="12">
                  <c:v>0.16030534351145032</c:v>
                </c:pt>
                <c:pt idx="13">
                  <c:v>0.27803738317756999</c:v>
                </c:pt>
                <c:pt idx="14">
                  <c:v>0.51063829787234027</c:v>
                </c:pt>
                <c:pt idx="15">
                  <c:v>0.15044247787610621</c:v>
                </c:pt>
                <c:pt idx="16">
                  <c:v>0.19999999999999996</c:v>
                </c:pt>
                <c:pt idx="17">
                  <c:v>0.15025906735751304</c:v>
                </c:pt>
                <c:pt idx="18">
                  <c:v>0.16550522648083632</c:v>
                </c:pt>
                <c:pt idx="19">
                  <c:v>0.15835140997830788</c:v>
                </c:pt>
                <c:pt idx="20">
                  <c:v>0.37790697674418605</c:v>
                </c:pt>
                <c:pt idx="21">
                  <c:v>0.17380352644836261</c:v>
                </c:pt>
                <c:pt idx="22">
                  <c:v>0.14563758389261738</c:v>
                </c:pt>
                <c:pt idx="23">
                  <c:v>0.88888888888888884</c:v>
                </c:pt>
                <c:pt idx="24">
                  <c:v>0.26791866028708133</c:v>
                </c:pt>
                <c:pt idx="25">
                  <c:v>2.3923444976076791E-2</c:v>
                </c:pt>
                <c:pt idx="26">
                  <c:v>1.9148936170212627E-2</c:v>
                </c:pt>
                <c:pt idx="27">
                  <c:v>0.18090909090909091</c:v>
                </c:pt>
                <c:pt idx="28">
                  <c:v>0.1333333333333333</c:v>
                </c:pt>
                <c:pt idx="29">
                  <c:v>0.23762376237623761</c:v>
                </c:pt>
                <c:pt idx="30">
                  <c:v>0.42245989304812825</c:v>
                </c:pt>
                <c:pt idx="31">
                  <c:v>0.26818181818181808</c:v>
                </c:pt>
                <c:pt idx="32">
                  <c:v>0.22135416666666674</c:v>
                </c:pt>
                <c:pt idx="33">
                  <c:v>0.13654618473895574</c:v>
                </c:pt>
                <c:pt idx="34">
                  <c:v>0.26249999999999996</c:v>
                </c:pt>
                <c:pt idx="35">
                  <c:v>5.2173913043478404E-2</c:v>
                </c:pt>
                <c:pt idx="36">
                  <c:v>0.23031496062992129</c:v>
                </c:pt>
                <c:pt idx="37">
                  <c:v>2.5404157043879882E-2</c:v>
                </c:pt>
                <c:pt idx="38">
                  <c:v>0.60194174757281571</c:v>
                </c:pt>
                <c:pt idx="39">
                  <c:v>0.58723404255319145</c:v>
                </c:pt>
                <c:pt idx="40">
                  <c:v>0.25161073825503366</c:v>
                </c:pt>
                <c:pt idx="41">
                  <c:v>0.16891891891891886</c:v>
                </c:pt>
                <c:pt idx="42">
                  <c:v>9.8901098901098994E-2</c:v>
                </c:pt>
                <c:pt idx="43">
                  <c:v>2.6824324324324325</c:v>
                </c:pt>
                <c:pt idx="44">
                  <c:v>0.76470588235294135</c:v>
                </c:pt>
                <c:pt idx="45">
                  <c:v>1.3289036544850585E-2</c:v>
                </c:pt>
                <c:pt idx="46">
                  <c:v>1.0472103004291844</c:v>
                </c:pt>
                <c:pt idx="47">
                  <c:v>0.60919540229885039</c:v>
                </c:pt>
                <c:pt idx="48">
                  <c:v>0.16363636363636358</c:v>
                </c:pt>
                <c:pt idx="49">
                  <c:v>0.70434306569343064</c:v>
                </c:pt>
                <c:pt idx="50">
                  <c:v>1.1710526315789473</c:v>
                </c:pt>
                <c:pt idx="51">
                  <c:v>2.4691358024691468E-2</c:v>
                </c:pt>
                <c:pt idx="52">
                  <c:v>8.0873786407766985</c:v>
                </c:pt>
                <c:pt idx="53">
                  <c:v>9.3301435406698774E-2</c:v>
                </c:pt>
                <c:pt idx="54">
                  <c:v>0.38797814207650272</c:v>
                </c:pt>
                <c:pt idx="55">
                  <c:v>9.0163934426229719E-2</c:v>
                </c:pt>
                <c:pt idx="56">
                  <c:v>5.2837573385518422E-2</c:v>
                </c:pt>
                <c:pt idx="57">
                  <c:v>0.2222222222222221</c:v>
                </c:pt>
                <c:pt idx="58">
                  <c:v>1.754385964912264E-2</c:v>
                </c:pt>
                <c:pt idx="59">
                  <c:v>0</c:v>
                </c:pt>
                <c:pt idx="60">
                  <c:v>6.4628099173553721E-2</c:v>
                </c:pt>
                <c:pt idx="61">
                  <c:v>0.26400000000000001</c:v>
                </c:pt>
                <c:pt idx="62">
                  <c:v>0</c:v>
                </c:pt>
                <c:pt idx="63">
                  <c:v>0</c:v>
                </c:pt>
                <c:pt idx="64">
                  <c:v>0.41032608695652173</c:v>
                </c:pt>
                <c:pt idx="65">
                  <c:v>9.8265895953757232E-2</c:v>
                </c:pt>
                <c:pt idx="66">
                  <c:v>0.24657534246575352</c:v>
                </c:pt>
                <c:pt idx="67">
                  <c:v>0.58634538152610438</c:v>
                </c:pt>
                <c:pt idx="68">
                  <c:v>0.31525423728813551</c:v>
                </c:pt>
                <c:pt idx="69">
                  <c:v>0.88461538461538458</c:v>
                </c:pt>
                <c:pt idx="70">
                  <c:v>0.51785714285714257</c:v>
                </c:pt>
                <c:pt idx="71">
                  <c:v>1.7304964539007095</c:v>
                </c:pt>
                <c:pt idx="72">
                  <c:v>0.75428571428571423</c:v>
                </c:pt>
                <c:pt idx="73">
                  <c:v>11.380191693290735</c:v>
                </c:pt>
                <c:pt idx="74">
                  <c:v>1.3763157894736842</c:v>
                </c:pt>
                <c:pt idx="75">
                  <c:v>0.34928229665071764</c:v>
                </c:pt>
                <c:pt idx="76">
                  <c:v>0.13140604467805517</c:v>
                </c:pt>
                <c:pt idx="77">
                  <c:v>5.4545454545454675E-2</c:v>
                </c:pt>
                <c:pt idx="78">
                  <c:v>0.29875518672199153</c:v>
                </c:pt>
                <c:pt idx="79">
                  <c:v>0.17753623188405809</c:v>
                </c:pt>
                <c:pt idx="80">
                  <c:v>0.33377823408624208</c:v>
                </c:pt>
                <c:pt idx="81">
                  <c:v>0.65297450424929182</c:v>
                </c:pt>
                <c:pt idx="82">
                  <c:v>0.33725490196078445</c:v>
                </c:pt>
                <c:pt idx="83">
                  <c:v>0.3348623853211008</c:v>
                </c:pt>
                <c:pt idx="84">
                  <c:v>0.5095628415300546</c:v>
                </c:pt>
                <c:pt idx="85">
                  <c:v>1.5000000000000004</c:v>
                </c:pt>
                <c:pt idx="86">
                  <c:v>0.11111111111111116</c:v>
                </c:pt>
                <c:pt idx="87">
                  <c:v>1.5</c:v>
                </c:pt>
                <c:pt idx="88">
                  <c:v>0.66666666666666674</c:v>
                </c:pt>
                <c:pt idx="89">
                  <c:v>0.35511363636363624</c:v>
                </c:pt>
                <c:pt idx="90">
                  <c:v>0.14285714285714302</c:v>
                </c:pt>
                <c:pt idx="91">
                  <c:v>0.8333333333333337</c:v>
                </c:pt>
                <c:pt idx="92">
                  <c:v>0.14285714285714302</c:v>
                </c:pt>
                <c:pt idx="93">
                  <c:v>1.25</c:v>
                </c:pt>
                <c:pt idx="94">
                  <c:v>0.60000000000000009</c:v>
                </c:pt>
                <c:pt idx="95">
                  <c:v>0.90909090909090895</c:v>
                </c:pt>
                <c:pt idx="96">
                  <c:v>3.416666666666667</c:v>
                </c:pt>
                <c:pt idx="97">
                  <c:v>0.36363636363636354</c:v>
                </c:pt>
                <c:pt idx="98">
                  <c:v>1.6521739130434785</c:v>
                </c:pt>
                <c:pt idx="99">
                  <c:v>0.47368421052631571</c:v>
                </c:pt>
                <c:pt idx="100">
                  <c:v>0.25925925925925908</c:v>
                </c:pt>
                <c:pt idx="101">
                  <c:v>4.1640340218712026</c:v>
                </c:pt>
                <c:pt idx="102">
                  <c:v>1.8888888888888888</c:v>
                </c:pt>
                <c:pt idx="103">
                  <c:v>1.6175438596491225</c:v>
                </c:pt>
                <c:pt idx="104">
                  <c:v>0.18561872909698995</c:v>
                </c:pt>
                <c:pt idx="105">
                  <c:v>0.26434782608695651</c:v>
                </c:pt>
                <c:pt idx="106">
                  <c:v>0.78571428571428603</c:v>
                </c:pt>
                <c:pt idx="107">
                  <c:v>1.6875</c:v>
                </c:pt>
                <c:pt idx="108">
                  <c:v>0.41666666666666674</c:v>
                </c:pt>
                <c:pt idx="109">
                  <c:v>1.3611111111111112</c:v>
                </c:pt>
                <c:pt idx="110">
                  <c:v>1.3834586466165413</c:v>
                </c:pt>
                <c:pt idx="111">
                  <c:v>0.34545454545454546</c:v>
                </c:pt>
                <c:pt idx="112">
                  <c:v>0.28779342723004686</c:v>
                </c:pt>
                <c:pt idx="113">
                  <c:v>0.17064516129032259</c:v>
                </c:pt>
                <c:pt idx="114">
                  <c:v>0.41564705882352948</c:v>
                </c:pt>
                <c:pt idx="115">
                  <c:v>0.35999999999999988</c:v>
                </c:pt>
                <c:pt idx="116">
                  <c:v>0.42004773269689721</c:v>
                </c:pt>
                <c:pt idx="117">
                  <c:v>0.52173913043478271</c:v>
                </c:pt>
                <c:pt idx="118">
                  <c:v>0.18518518518518512</c:v>
                </c:pt>
                <c:pt idx="119">
                  <c:v>0.12426035502958577</c:v>
                </c:pt>
                <c:pt idx="120">
                  <c:v>0.77499999999999991</c:v>
                </c:pt>
                <c:pt idx="121">
                  <c:v>0.17647058823529416</c:v>
                </c:pt>
                <c:pt idx="122">
                  <c:v>0.28571428571428559</c:v>
                </c:pt>
                <c:pt idx="123">
                  <c:v>1</c:v>
                </c:pt>
                <c:pt idx="124">
                  <c:v>1.1363636363636362</c:v>
                </c:pt>
                <c:pt idx="125">
                  <c:v>0.36956521739130421</c:v>
                </c:pt>
                <c:pt idx="126">
                  <c:v>9.0579710144927494E-2</c:v>
                </c:pt>
                <c:pt idx="127">
                  <c:v>0.32743362831858414</c:v>
                </c:pt>
                <c:pt idx="128">
                  <c:v>1.9238329238329235</c:v>
                </c:pt>
                <c:pt idx="129">
                  <c:v>0.47058823529411753</c:v>
                </c:pt>
                <c:pt idx="130">
                  <c:v>0.44444444444444442</c:v>
                </c:pt>
                <c:pt idx="131">
                  <c:v>0.25839416058394149</c:v>
                </c:pt>
                <c:pt idx="132">
                  <c:v>0.40298507462686572</c:v>
                </c:pt>
                <c:pt idx="133">
                  <c:v>0.30097087378640786</c:v>
                </c:pt>
                <c:pt idx="134">
                  <c:v>0.10596026490066213</c:v>
                </c:pt>
                <c:pt idx="135">
                  <c:v>0.10270270270270276</c:v>
                </c:pt>
                <c:pt idx="136">
                  <c:v>0.1160714285714286</c:v>
                </c:pt>
                <c:pt idx="137">
                  <c:v>0.1734693877551019</c:v>
                </c:pt>
                <c:pt idx="138">
                  <c:v>2.2857142857142856</c:v>
                </c:pt>
                <c:pt idx="139">
                  <c:v>0.12337662337662336</c:v>
                </c:pt>
                <c:pt idx="140">
                  <c:v>0.21739130434782616</c:v>
                </c:pt>
                <c:pt idx="141">
                  <c:v>0.40697674418604657</c:v>
                </c:pt>
                <c:pt idx="142">
                  <c:v>0.12250000000000005</c:v>
                </c:pt>
                <c:pt idx="143">
                  <c:v>0.15294117647058836</c:v>
                </c:pt>
                <c:pt idx="144">
                  <c:v>7.5268817204301008E-2</c:v>
                </c:pt>
                <c:pt idx="145">
                  <c:v>0.12127272727272742</c:v>
                </c:pt>
                <c:pt idx="146">
                  <c:v>0.11999999999999988</c:v>
                </c:pt>
                <c:pt idx="147">
                  <c:v>0.31275720164609044</c:v>
                </c:pt>
                <c:pt idx="148">
                  <c:v>0.18333333333333335</c:v>
                </c:pt>
                <c:pt idx="149">
                  <c:v>0.21246458923512757</c:v>
                </c:pt>
                <c:pt idx="150">
                  <c:v>0.51291512915129145</c:v>
                </c:pt>
                <c:pt idx="151">
                  <c:v>13.815217391304348</c:v>
                </c:pt>
                <c:pt idx="152">
                  <c:v>0.46370967741935476</c:v>
                </c:pt>
                <c:pt idx="153">
                  <c:v>1.9753086419753041E-2</c:v>
                </c:pt>
                <c:pt idx="154">
                  <c:v>0</c:v>
                </c:pt>
                <c:pt idx="155">
                  <c:v>5.4545454545454453E-2</c:v>
                </c:pt>
                <c:pt idx="156">
                  <c:v>0.27483443708609268</c:v>
                </c:pt>
                <c:pt idx="157">
                  <c:v>0.1150442477876108</c:v>
                </c:pt>
                <c:pt idx="158">
                  <c:v>9.3023255813953654E-2</c:v>
                </c:pt>
                <c:pt idx="159">
                  <c:v>0.34545454545454546</c:v>
                </c:pt>
                <c:pt idx="160">
                  <c:v>0.48258706467661705</c:v>
                </c:pt>
                <c:pt idx="161">
                  <c:v>1.2318840579710146</c:v>
                </c:pt>
                <c:pt idx="162">
                  <c:v>0.14572864321608026</c:v>
                </c:pt>
                <c:pt idx="163">
                  <c:v>4.8780487804878092E-3</c:v>
                </c:pt>
                <c:pt idx="164">
                  <c:v>0</c:v>
                </c:pt>
                <c:pt idx="165">
                  <c:v>0.72321428571428559</c:v>
                </c:pt>
                <c:pt idx="166">
                  <c:v>1.0869565217391353E-2</c:v>
                </c:pt>
                <c:pt idx="167">
                  <c:v>2.1582733812949728E-2</c:v>
                </c:pt>
                <c:pt idx="168">
                  <c:v>1.1249999999999982E-2</c:v>
                </c:pt>
                <c:pt idx="169">
                  <c:v>0</c:v>
                </c:pt>
                <c:pt idx="170">
                  <c:v>0.17669172932330812</c:v>
                </c:pt>
                <c:pt idx="171">
                  <c:v>2</c:v>
                </c:pt>
                <c:pt idx="172">
                  <c:v>0.21072796934865901</c:v>
                </c:pt>
                <c:pt idx="173">
                  <c:v>0.55967450271247743</c:v>
                </c:pt>
                <c:pt idx="174">
                  <c:v>0.36931216931216926</c:v>
                </c:pt>
                <c:pt idx="175">
                  <c:v>0.76026634382566582</c:v>
                </c:pt>
                <c:pt idx="176">
                  <c:v>0.67571059431524549</c:v>
                </c:pt>
                <c:pt idx="177">
                  <c:v>2.6907563025210086</c:v>
                </c:pt>
                <c:pt idx="178">
                  <c:v>9.7625329815303363E-2</c:v>
                </c:pt>
                <c:pt idx="179">
                  <c:v>0.19024390243902456</c:v>
                </c:pt>
                <c:pt idx="180">
                  <c:v>0.66137566137566162</c:v>
                </c:pt>
                <c:pt idx="181">
                  <c:v>0.81777777777777771</c:v>
                </c:pt>
                <c:pt idx="182">
                  <c:v>0</c:v>
                </c:pt>
                <c:pt idx="183">
                  <c:v>0.1408839779005524</c:v>
                </c:pt>
                <c:pt idx="184">
                  <c:v>4.9019607843137081E-3</c:v>
                </c:pt>
                <c:pt idx="185">
                  <c:v>0.46415094339622653</c:v>
                </c:pt>
                <c:pt idx="186">
                  <c:v>0.2975000000000001</c:v>
                </c:pt>
                <c:pt idx="187">
                  <c:v>0.17153284671532831</c:v>
                </c:pt>
                <c:pt idx="188">
                  <c:v>1.3783783783783785</c:v>
                </c:pt>
                <c:pt idx="189">
                  <c:v>1.3661971830985919</c:v>
                </c:pt>
                <c:pt idx="190">
                  <c:v>3.125</c:v>
                </c:pt>
                <c:pt idx="191">
                  <c:v>1.1086956521739131</c:v>
                </c:pt>
                <c:pt idx="192">
                  <c:v>0</c:v>
                </c:pt>
                <c:pt idx="193">
                  <c:v>2.2833333333333332</c:v>
                </c:pt>
                <c:pt idx="194">
                  <c:v>0.66666666666666674</c:v>
                </c:pt>
                <c:pt idx="195">
                  <c:v>4.5555555555555554</c:v>
                </c:pt>
                <c:pt idx="196">
                  <c:v>0.14999999999999991</c:v>
                </c:pt>
                <c:pt idx="197">
                  <c:v>1.5384615384615388</c:v>
                </c:pt>
                <c:pt idx="198">
                  <c:v>1.8333333333333335</c:v>
                </c:pt>
                <c:pt idx="199">
                  <c:v>1.6315789473684212</c:v>
                </c:pt>
                <c:pt idx="200">
                  <c:v>0.53125</c:v>
                </c:pt>
                <c:pt idx="201">
                  <c:v>0.26301369863013702</c:v>
                </c:pt>
                <c:pt idx="202">
                  <c:v>0.97584541062801944</c:v>
                </c:pt>
                <c:pt idx="203">
                  <c:v>0.68981481481481466</c:v>
                </c:pt>
                <c:pt idx="204">
                  <c:v>0.63934426229508223</c:v>
                </c:pt>
                <c:pt idx="205">
                  <c:v>0.4137931034482758</c:v>
                </c:pt>
                <c:pt idx="206">
                  <c:v>0.82608695652173902</c:v>
                </c:pt>
                <c:pt idx="207">
                  <c:v>0.11127819548872186</c:v>
                </c:pt>
                <c:pt idx="208">
                  <c:v>1.1510791366906479</c:v>
                </c:pt>
                <c:pt idx="209">
                  <c:v>0.18500000000000005</c:v>
                </c:pt>
                <c:pt idx="210">
                  <c:v>15.111111111111111</c:v>
                </c:pt>
                <c:pt idx="211">
                  <c:v>8.6153846153846168</c:v>
                </c:pt>
                <c:pt idx="212">
                  <c:v>3.986522911051213</c:v>
                </c:pt>
                <c:pt idx="213">
                  <c:v>0.59375</c:v>
                </c:pt>
                <c:pt idx="214">
                  <c:v>4.4629629629629628</c:v>
                </c:pt>
                <c:pt idx="215">
                  <c:v>105.25</c:v>
                </c:pt>
                <c:pt idx="216">
                  <c:v>11.546558704453439</c:v>
                </c:pt>
                <c:pt idx="217">
                  <c:v>0.23595505617977519</c:v>
                </c:pt>
                <c:pt idx="218">
                  <c:v>0.679245283018868</c:v>
                </c:pt>
                <c:pt idx="219">
                  <c:v>0.15202797202797202</c:v>
                </c:pt>
                <c:pt idx="220">
                  <c:v>0.23123123123123102</c:v>
                </c:pt>
                <c:pt idx="221">
                  <c:v>0.5</c:v>
                </c:pt>
                <c:pt idx="222">
                  <c:v>3.4158878504672892</c:v>
                </c:pt>
                <c:pt idx="223">
                  <c:v>1.1862745098039214</c:v>
                </c:pt>
                <c:pt idx="224">
                  <c:v>1.3160919540229887</c:v>
                </c:pt>
                <c:pt idx="225">
                  <c:v>0.89922480620155043</c:v>
                </c:pt>
                <c:pt idx="226">
                  <c:v>1.7631578947368425</c:v>
                </c:pt>
                <c:pt idx="227">
                  <c:v>4.7002881844380404</c:v>
                </c:pt>
                <c:pt idx="228">
                  <c:v>0.49769585253456228</c:v>
                </c:pt>
                <c:pt idx="229">
                  <c:v>0.72</c:v>
                </c:pt>
                <c:pt idx="230">
                  <c:v>0.68831168831168821</c:v>
                </c:pt>
                <c:pt idx="231">
                  <c:v>1.5978835978835981</c:v>
                </c:pt>
                <c:pt idx="232">
                  <c:v>3.7222222222222223</c:v>
                </c:pt>
                <c:pt idx="233">
                  <c:v>0.9576719576719579</c:v>
                </c:pt>
                <c:pt idx="234">
                  <c:v>0.4049586776859504</c:v>
                </c:pt>
                <c:pt idx="235">
                  <c:v>0.97169811320754684</c:v>
                </c:pt>
                <c:pt idx="236">
                  <c:v>0.91089108910891081</c:v>
                </c:pt>
                <c:pt idx="237">
                  <c:v>6.584269662921348</c:v>
                </c:pt>
                <c:pt idx="238">
                  <c:v>1.6774193548387095</c:v>
                </c:pt>
                <c:pt idx="239">
                  <c:v>1.5347222222222223</c:v>
                </c:pt>
                <c:pt idx="240">
                  <c:v>0.68217054263565879</c:v>
                </c:pt>
                <c:pt idx="241">
                  <c:v>1.0112359550561796</c:v>
                </c:pt>
                <c:pt idx="242">
                  <c:v>1.5906735751295336</c:v>
                </c:pt>
                <c:pt idx="243">
                  <c:v>7.7601078167115904</c:v>
                </c:pt>
                <c:pt idx="244">
                  <c:v>2.1962616822429903</c:v>
                </c:pt>
                <c:pt idx="245">
                  <c:v>0.77894736842105261</c:v>
                </c:pt>
                <c:pt idx="246">
                  <c:v>11.980952380952381</c:v>
                </c:pt>
                <c:pt idx="247">
                  <c:v>0.393877551020408</c:v>
                </c:pt>
                <c:pt idx="248">
                  <c:v>1.9636363636363634</c:v>
                </c:pt>
                <c:pt idx="249">
                  <c:v>1.4308943089430897</c:v>
                </c:pt>
                <c:pt idx="250">
                  <c:v>5.8775510204081636</c:v>
                </c:pt>
                <c:pt idx="251">
                  <c:v>8.3117408906882595</c:v>
                </c:pt>
                <c:pt idx="252">
                  <c:v>5.6412213740458004</c:v>
                </c:pt>
                <c:pt idx="253">
                  <c:v>4.522388059701492</c:v>
                </c:pt>
                <c:pt idx="254">
                  <c:v>3.0437158469945356</c:v>
                </c:pt>
                <c:pt idx="255">
                  <c:v>0.43611111111111112</c:v>
                </c:pt>
                <c:pt idx="256">
                  <c:v>2.2653061224489797</c:v>
                </c:pt>
                <c:pt idx="257">
                  <c:v>0.16630669546436305</c:v>
                </c:pt>
                <c:pt idx="258">
                  <c:v>1.158311345646438</c:v>
                </c:pt>
                <c:pt idx="259">
                  <c:v>3.8675373134328357</c:v>
                </c:pt>
                <c:pt idx="260">
                  <c:v>0.96722408026755824</c:v>
                </c:pt>
                <c:pt idx="261">
                  <c:v>4.8391959798994968</c:v>
                </c:pt>
                <c:pt idx="262">
                  <c:v>0.41295546558704443</c:v>
                </c:pt>
                <c:pt idx="263">
                  <c:v>1.2592592592592591</c:v>
                </c:pt>
                <c:pt idx="264">
                  <c:v>3.9610389610389607</c:v>
                </c:pt>
                <c:pt idx="265">
                  <c:v>3.179347826086957</c:v>
                </c:pt>
                <c:pt idx="266">
                  <c:v>1535.9230769230771</c:v>
                </c:pt>
                <c:pt idx="267">
                  <c:v>2.2083333333333335</c:v>
                </c:pt>
                <c:pt idx="268">
                  <c:v>4.957243816254417</c:v>
                </c:pt>
                <c:pt idx="269">
                  <c:v>1.8192771084337349</c:v>
                </c:pt>
                <c:pt idx="270">
                  <c:v>1.2967032967032965</c:v>
                </c:pt>
                <c:pt idx="271">
                  <c:v>0.5490196078431373</c:v>
                </c:pt>
                <c:pt idx="272">
                  <c:v>1.552204176334107</c:v>
                </c:pt>
                <c:pt idx="273">
                  <c:v>2.1554054054054053</c:v>
                </c:pt>
                <c:pt idx="274">
                  <c:v>0.85813953488372108</c:v>
                </c:pt>
                <c:pt idx="275">
                  <c:v>1.7540983606557377</c:v>
                </c:pt>
                <c:pt idx="276">
                  <c:v>1.2021276595744679</c:v>
                </c:pt>
                <c:pt idx="277">
                  <c:v>1.7307692307692304</c:v>
                </c:pt>
                <c:pt idx="278">
                  <c:v>1.2576112412177989</c:v>
                </c:pt>
                <c:pt idx="279">
                  <c:v>3.1847133757961785</c:v>
                </c:pt>
                <c:pt idx="280">
                  <c:v>1.9661016949152543</c:v>
                </c:pt>
                <c:pt idx="281">
                  <c:v>10.627118644067798</c:v>
                </c:pt>
                <c:pt idx="282">
                  <c:v>1.8767123287671232</c:v>
                </c:pt>
                <c:pt idx="283">
                  <c:v>1.5906735751295336</c:v>
                </c:pt>
                <c:pt idx="284">
                  <c:v>26.051724137931036</c:v>
                </c:pt>
                <c:pt idx="285">
                  <c:v>57.817460317460316</c:v>
                </c:pt>
                <c:pt idx="286">
                  <c:v>5.4189189189189184</c:v>
                </c:pt>
                <c:pt idx="287">
                  <c:v>0.94945848375451281</c:v>
                </c:pt>
                <c:pt idx="288">
                  <c:v>11.773722627737225</c:v>
                </c:pt>
                <c:pt idx="289">
                  <c:v>0.35463258785942497</c:v>
                </c:pt>
                <c:pt idx="290">
                  <c:v>2.9740740740740739</c:v>
                </c:pt>
                <c:pt idx="291">
                  <c:v>39.361990950226243</c:v>
                </c:pt>
                <c:pt idx="292">
                  <c:v>0.95945945945945943</c:v>
                </c:pt>
                <c:pt idx="293">
                  <c:v>2.0627450980392159</c:v>
                </c:pt>
                <c:pt idx="294">
                  <c:v>1.1494252873563218</c:v>
                </c:pt>
                <c:pt idx="295">
                  <c:v>2.5542168674698797</c:v>
                </c:pt>
                <c:pt idx="296">
                  <c:v>3.9459459459459465</c:v>
                </c:pt>
                <c:pt idx="297">
                  <c:v>23.363636363636363</c:v>
                </c:pt>
                <c:pt idx="298">
                  <c:v>3.7767857142857135</c:v>
                </c:pt>
                <c:pt idx="299">
                  <c:v>26.897435897435898</c:v>
                </c:pt>
                <c:pt idx="300">
                  <c:v>4.2175438596491226</c:v>
                </c:pt>
                <c:pt idx="301">
                  <c:v>3.1516245487364625</c:v>
                </c:pt>
                <c:pt idx="302">
                  <c:v>1.943548387096774</c:v>
                </c:pt>
                <c:pt idx="303">
                  <c:v>2.2531400966183579</c:v>
                </c:pt>
                <c:pt idx="304">
                  <c:v>13.798850574712645</c:v>
                </c:pt>
                <c:pt idx="305">
                  <c:v>5.7407407407407405</c:v>
                </c:pt>
                <c:pt idx="306">
                  <c:v>0.5</c:v>
                </c:pt>
                <c:pt idx="307">
                  <c:v>177.1081081081081</c:v>
                </c:pt>
                <c:pt idx="308">
                  <c:v>10.212121212121211</c:v>
                </c:pt>
                <c:pt idx="309">
                  <c:v>0.33720930232558155</c:v>
                </c:pt>
                <c:pt idx="310">
                  <c:v>3.894327030033371</c:v>
                </c:pt>
                <c:pt idx="311">
                  <c:v>0.46627565982404717</c:v>
                </c:pt>
                <c:pt idx="312">
                  <c:v>186.64705882352942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F8-49CB-B58D-92B1B9284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623999"/>
        <c:axId val="1744647295"/>
      </c:scatterChart>
      <c:valAx>
        <c:axId val="1744623999"/>
        <c:scaling>
          <c:logBase val="10"/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Float</a:t>
                </a:r>
              </a:p>
            </c:rich>
          </c:tx>
          <c:layout>
            <c:manualLayout>
              <c:xMode val="edge"/>
              <c:yMode val="edge"/>
              <c:x val="0.46825244936673371"/>
              <c:y val="0.8786803732866724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;\-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108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47295"/>
        <c:crosses val="autoZero"/>
        <c:crossBetween val="midCat"/>
      </c:valAx>
      <c:valAx>
        <c:axId val="17446472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%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2399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>
                <a:solidFill>
                  <a:schemeClr val="bg1"/>
                </a:solidFill>
              </a:rPr>
              <a:t>Peak % Vs Normalized Delta(200,100,50,50d,20,14,8) "SMAs"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PeakVsFloat</c:v>
          </c:tx>
          <c:spPr>
            <a:ln w="25400" cap="rnd">
              <a:noFill/>
              <a:prstDash val="solid"/>
            </a:ln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</c:spPr>
            <c:trendlineType val="log"/>
            <c:dispRSqr val="0"/>
            <c:dispEq val="0"/>
          </c:trendline>
          <c:xVal>
            <c:numRef>
              <c:f>Stocks!$BH$6:$BH$318</c:f>
              <c:numCache>
                <c:formatCode>General</c:formatCode>
                <c:ptCount val="313"/>
                <c:pt idx="38">
                  <c:v>0.18973995494301624</c:v>
                </c:pt>
                <c:pt idx="39">
                  <c:v>0.22416359531046423</c:v>
                </c:pt>
                <c:pt idx="40">
                  <c:v>0.19177629262567636</c:v>
                </c:pt>
                <c:pt idx="41">
                  <c:v>0.15181203558346409</c:v>
                </c:pt>
                <c:pt idx="42">
                  <c:v>0.10903083259216526</c:v>
                </c:pt>
                <c:pt idx="43">
                  <c:v>0.27706873524920067</c:v>
                </c:pt>
                <c:pt idx="44">
                  <c:v>0.4381532613045212</c:v>
                </c:pt>
                <c:pt idx="45">
                  <c:v>0.31435609902977613</c:v>
                </c:pt>
                <c:pt idx="46">
                  <c:v>0.17791581999178988</c:v>
                </c:pt>
                <c:pt idx="47">
                  <c:v>0.26694722975895546</c:v>
                </c:pt>
                <c:pt idx="48">
                  <c:v>0.1593580051318772</c:v>
                </c:pt>
                <c:pt idx="49">
                  <c:v>0.12408296836982954</c:v>
                </c:pt>
                <c:pt idx="50">
                  <c:v>0.15936257899864636</c:v>
                </c:pt>
                <c:pt idx="51">
                  <c:v>0.13589546650777079</c:v>
                </c:pt>
                <c:pt idx="52">
                  <c:v>0.3176097449981945</c:v>
                </c:pt>
                <c:pt idx="65">
                  <c:v>0.36351412056151905</c:v>
                </c:pt>
                <c:pt idx="66">
                  <c:v>0.28060572174075116</c:v>
                </c:pt>
                <c:pt idx="67">
                  <c:v>0.54846829494849791</c:v>
                </c:pt>
                <c:pt idx="71">
                  <c:v>0.14799982264334285</c:v>
                </c:pt>
                <c:pt idx="72">
                  <c:v>0.17720221891331617</c:v>
                </c:pt>
                <c:pt idx="73">
                  <c:v>0.16485204517704488</c:v>
                </c:pt>
                <c:pt idx="74">
                  <c:v>0.1184264431231811</c:v>
                </c:pt>
                <c:pt idx="75">
                  <c:v>0.14205024943310621</c:v>
                </c:pt>
                <c:pt idx="76">
                  <c:v>9.2418371770034452E-2</c:v>
                </c:pt>
                <c:pt idx="77">
                  <c:v>0.20273875520357401</c:v>
                </c:pt>
                <c:pt idx="78">
                  <c:v>0.18879227674048296</c:v>
                </c:pt>
                <c:pt idx="79">
                  <c:v>0.20560023337802261</c:v>
                </c:pt>
                <c:pt idx="80">
                  <c:v>0.2953843374126926</c:v>
                </c:pt>
                <c:pt idx="81">
                  <c:v>0.5441898648904</c:v>
                </c:pt>
                <c:pt idx="82">
                  <c:v>0.51320929049847197</c:v>
                </c:pt>
                <c:pt idx="83">
                  <c:v>0.51034271554775568</c:v>
                </c:pt>
                <c:pt idx="84">
                  <c:v>0.3174381947034674</c:v>
                </c:pt>
                <c:pt idx="85">
                  <c:v>2.1046196660482361</c:v>
                </c:pt>
                <c:pt idx="86">
                  <c:v>0.14300680272108798</c:v>
                </c:pt>
                <c:pt idx="87">
                  <c:v>0.16626606198034669</c:v>
                </c:pt>
                <c:pt idx="88">
                  <c:v>0.19418367346938667</c:v>
                </c:pt>
                <c:pt idx="89">
                  <c:v>0.26906571969696985</c:v>
                </c:pt>
                <c:pt idx="90">
                  <c:v>0.14838678328474142</c:v>
                </c:pt>
                <c:pt idx="91">
                  <c:v>0.27626275510203996</c:v>
                </c:pt>
                <c:pt idx="92">
                  <c:v>0.24461613216715286</c:v>
                </c:pt>
                <c:pt idx="93">
                  <c:v>0.4335714285714275</c:v>
                </c:pt>
                <c:pt idx="94">
                  <c:v>0.14777777777777767</c:v>
                </c:pt>
                <c:pt idx="95">
                  <c:v>0.19359906462585</c:v>
                </c:pt>
                <c:pt idx="96">
                  <c:v>0.13933542647828384</c:v>
                </c:pt>
                <c:pt idx="97">
                  <c:v>0.28588151927437583</c:v>
                </c:pt>
                <c:pt idx="98">
                  <c:v>0.29916423712342105</c:v>
                </c:pt>
                <c:pt idx="99">
                  <c:v>0.35787657920311</c:v>
                </c:pt>
                <c:pt idx="100">
                  <c:v>0.29072058453010813</c:v>
                </c:pt>
                <c:pt idx="101">
                  <c:v>0.16948058984072575</c:v>
                </c:pt>
                <c:pt idx="102">
                  <c:v>0.73615908269557728</c:v>
                </c:pt>
                <c:pt idx="103">
                  <c:v>0.26413085656797924</c:v>
                </c:pt>
                <c:pt idx="104">
                  <c:v>0.22715650808818391</c:v>
                </c:pt>
                <c:pt idx="105">
                  <c:v>0.23100274001774609</c:v>
                </c:pt>
                <c:pt idx="106">
                  <c:v>0.42448514142499055</c:v>
                </c:pt>
                <c:pt idx="107">
                  <c:v>0.24684473789515768</c:v>
                </c:pt>
                <c:pt idx="108">
                  <c:v>0.34824437467294539</c:v>
                </c:pt>
                <c:pt idx="109">
                  <c:v>0.32644144144144055</c:v>
                </c:pt>
                <c:pt idx="110">
                  <c:v>0.17518076271400745</c:v>
                </c:pt>
                <c:pt idx="111">
                  <c:v>0.15088064316635744</c:v>
                </c:pt>
                <c:pt idx="112">
                  <c:v>0.21919077271934381</c:v>
                </c:pt>
                <c:pt idx="113">
                  <c:v>0.24888306122448869</c:v>
                </c:pt>
                <c:pt idx="114">
                  <c:v>0.25469544780318082</c:v>
                </c:pt>
                <c:pt idx="115">
                  <c:v>0.26587585034013544</c:v>
                </c:pt>
                <c:pt idx="116">
                  <c:v>0.40575261975459814</c:v>
                </c:pt>
                <c:pt idx="117">
                  <c:v>0.38486342945873914</c:v>
                </c:pt>
                <c:pt idx="118">
                  <c:v>0.16173374485596664</c:v>
                </c:pt>
                <c:pt idx="119">
                  <c:v>0.43796439393939374</c:v>
                </c:pt>
                <c:pt idx="120">
                  <c:v>0.93050537613573692</c:v>
                </c:pt>
                <c:pt idx="121">
                  <c:v>0.47255702280912293</c:v>
                </c:pt>
                <c:pt idx="122">
                  <c:v>0.45280187074829997</c:v>
                </c:pt>
                <c:pt idx="123">
                  <c:v>0.38670634920634839</c:v>
                </c:pt>
                <c:pt idx="124">
                  <c:v>0.7173345701917091</c:v>
                </c:pt>
                <c:pt idx="125">
                  <c:v>0.49988481203007473</c:v>
                </c:pt>
                <c:pt idx="127">
                  <c:v>0.1748790322580637</c:v>
                </c:pt>
                <c:pt idx="128">
                  <c:v>0.53320498980448616</c:v>
                </c:pt>
                <c:pt idx="129">
                  <c:v>0.17337329931972748</c:v>
                </c:pt>
                <c:pt idx="130">
                  <c:v>0.13029154518950456</c:v>
                </c:pt>
                <c:pt idx="131">
                  <c:v>0.80599782234450978</c:v>
                </c:pt>
                <c:pt idx="132">
                  <c:v>0.54490646258503284</c:v>
                </c:pt>
                <c:pt idx="133">
                  <c:v>0.25693476223025075</c:v>
                </c:pt>
                <c:pt idx="134">
                  <c:v>0.56866053971257358</c:v>
                </c:pt>
                <c:pt idx="135">
                  <c:v>0.51637818425242288</c:v>
                </c:pt>
                <c:pt idx="136">
                  <c:v>0.12484815354713304</c:v>
                </c:pt>
                <c:pt idx="137">
                  <c:v>0.43456838195400826</c:v>
                </c:pt>
                <c:pt idx="138">
                  <c:v>0.2599715773809525</c:v>
                </c:pt>
                <c:pt idx="161">
                  <c:v>0.16458801143645824</c:v>
                </c:pt>
                <c:pt idx="162">
                  <c:v>0.26419317334974224</c:v>
                </c:pt>
                <c:pt idx="163">
                  <c:v>0.18607891488302636</c:v>
                </c:pt>
                <c:pt idx="164">
                  <c:v>0.15626273514100494</c:v>
                </c:pt>
                <c:pt idx="165">
                  <c:v>0.13682995626822142</c:v>
                </c:pt>
                <c:pt idx="166">
                  <c:v>0.22243456025664629</c:v>
                </c:pt>
                <c:pt idx="167">
                  <c:v>0.21163534967943959</c:v>
                </c:pt>
                <c:pt idx="168">
                  <c:v>0.2892459312839038</c:v>
                </c:pt>
                <c:pt idx="169">
                  <c:v>0.26892351299494233</c:v>
                </c:pt>
                <c:pt idx="170">
                  <c:v>0.67863664761904396</c:v>
                </c:pt>
                <c:pt idx="171">
                  <c:v>0.29031990165631522</c:v>
                </c:pt>
                <c:pt idx="172">
                  <c:v>0.16038448565738098</c:v>
                </c:pt>
                <c:pt idx="173">
                  <c:v>0.37793671510489002</c:v>
                </c:pt>
                <c:pt idx="174">
                  <c:v>0.22978999289267957</c:v>
                </c:pt>
                <c:pt idx="175">
                  <c:v>0.2191904011369803</c:v>
                </c:pt>
                <c:pt idx="176">
                  <c:v>0.34261230547574006</c:v>
                </c:pt>
                <c:pt idx="177">
                  <c:v>0.47568264088715717</c:v>
                </c:pt>
                <c:pt idx="178">
                  <c:v>0.22412346043680578</c:v>
                </c:pt>
                <c:pt idx="179">
                  <c:v>0.44672606802720999</c:v>
                </c:pt>
                <c:pt idx="180">
                  <c:v>0.19219392469859109</c:v>
                </c:pt>
                <c:pt idx="181">
                  <c:v>0.17296321995464756</c:v>
                </c:pt>
                <c:pt idx="182">
                  <c:v>0.18676209237058117</c:v>
                </c:pt>
                <c:pt idx="183">
                  <c:v>0.24284415820973168</c:v>
                </c:pt>
                <c:pt idx="184">
                  <c:v>0.25892499666533236</c:v>
                </c:pt>
                <c:pt idx="185">
                  <c:v>0.15703641384912148</c:v>
                </c:pt>
                <c:pt idx="186">
                  <c:v>0.14180372619047574</c:v>
                </c:pt>
                <c:pt idx="187">
                  <c:v>0.22082685185185183</c:v>
                </c:pt>
                <c:pt idx="188">
                  <c:v>0.1857289943004227</c:v>
                </c:pt>
                <c:pt idx="189">
                  <c:v>0.15181580324437463</c:v>
                </c:pt>
                <c:pt idx="190">
                  <c:v>0.10968253968253999</c:v>
                </c:pt>
                <c:pt idx="191">
                  <c:v>0.2777282491944123</c:v>
                </c:pt>
                <c:pt idx="192">
                  <c:v>0.28077902128593385</c:v>
                </c:pt>
                <c:pt idx="193">
                  <c:v>0.21457482993197166</c:v>
                </c:pt>
                <c:pt idx="194">
                  <c:v>0.70489115646258005</c:v>
                </c:pt>
                <c:pt idx="195">
                  <c:v>0.15831884605694072</c:v>
                </c:pt>
                <c:pt idx="196">
                  <c:v>0.19551462585033902</c:v>
                </c:pt>
                <c:pt idx="197">
                  <c:v>0.16005102040816191</c:v>
                </c:pt>
                <c:pt idx="198">
                  <c:v>0.25742252456538944</c:v>
                </c:pt>
                <c:pt idx="199">
                  <c:v>0.1231337440636632</c:v>
                </c:pt>
                <c:pt idx="200">
                  <c:v>0.14223182784477414</c:v>
                </c:pt>
                <c:pt idx="201">
                  <c:v>0.24468951076320933</c:v>
                </c:pt>
                <c:pt idx="202">
                  <c:v>0.10370125915750913</c:v>
                </c:pt>
                <c:pt idx="203">
                  <c:v>0.14357038296800184</c:v>
                </c:pt>
                <c:pt idx="204">
                  <c:v>0.24397540187034897</c:v>
                </c:pt>
                <c:pt idx="205">
                  <c:v>0.14876095863632757</c:v>
                </c:pt>
                <c:pt idx="206">
                  <c:v>0.18378891846593712</c:v>
                </c:pt>
                <c:pt idx="207">
                  <c:v>0.11525250200330701</c:v>
                </c:pt>
                <c:pt idx="208">
                  <c:v>0.16056990162971654</c:v>
                </c:pt>
                <c:pt idx="209">
                  <c:v>0.14746576530612199</c:v>
                </c:pt>
                <c:pt idx="210">
                  <c:v>0.19343300075585776</c:v>
                </c:pt>
                <c:pt idx="211">
                  <c:v>0.18193746729461058</c:v>
                </c:pt>
                <c:pt idx="212">
                  <c:v>0.11753818508535471</c:v>
                </c:pt>
                <c:pt idx="213">
                  <c:v>0.12703082820429762</c:v>
                </c:pt>
                <c:pt idx="214">
                  <c:v>0.28331729834791503</c:v>
                </c:pt>
                <c:pt idx="215">
                  <c:v>0.13231323438466272</c:v>
                </c:pt>
                <c:pt idx="216">
                  <c:v>0.15119578066044209</c:v>
                </c:pt>
                <c:pt idx="217">
                  <c:v>0.11851028561237191</c:v>
                </c:pt>
                <c:pt idx="218">
                  <c:v>0.12014109613656794</c:v>
                </c:pt>
                <c:pt idx="219">
                  <c:v>0.16471177394034545</c:v>
                </c:pt>
                <c:pt idx="220">
                  <c:v>0.22384443218728919</c:v>
                </c:pt>
                <c:pt idx="221">
                  <c:v>0.16734732497165522</c:v>
                </c:pt>
                <c:pt idx="222">
                  <c:v>0.10544695149087663</c:v>
                </c:pt>
                <c:pt idx="223">
                  <c:v>0.11934509136988136</c:v>
                </c:pt>
                <c:pt idx="224">
                  <c:v>0.11666359762295689</c:v>
                </c:pt>
                <c:pt idx="225">
                  <c:v>0.11473791066814303</c:v>
                </c:pt>
                <c:pt idx="226">
                  <c:v>0.11048005728607194</c:v>
                </c:pt>
                <c:pt idx="227">
                  <c:v>0.11532214880221432</c:v>
                </c:pt>
                <c:pt idx="229">
                  <c:v>0.11259000453514734</c:v>
                </c:pt>
                <c:pt idx="230">
                  <c:v>0.1631028417818742</c:v>
                </c:pt>
                <c:pt idx="231">
                  <c:v>0.1473569928484213</c:v>
                </c:pt>
                <c:pt idx="232">
                  <c:v>0.11863283208020001</c:v>
                </c:pt>
                <c:pt idx="233">
                  <c:v>0.11453635676492804</c:v>
                </c:pt>
                <c:pt idx="234">
                  <c:v>0.13913331603827925</c:v>
                </c:pt>
                <c:pt idx="235">
                  <c:v>0.13748553860282151</c:v>
                </c:pt>
                <c:pt idx="236">
                  <c:v>0.1561326668179909</c:v>
                </c:pt>
                <c:pt idx="237">
                  <c:v>0.14266536966434834</c:v>
                </c:pt>
                <c:pt idx="238">
                  <c:v>0.15047583361213279</c:v>
                </c:pt>
                <c:pt idx="239">
                  <c:v>0.21510420932878258</c:v>
                </c:pt>
                <c:pt idx="240">
                  <c:v>0.11242690962099071</c:v>
                </c:pt>
                <c:pt idx="241">
                  <c:v>0.13059767902860001</c:v>
                </c:pt>
                <c:pt idx="242">
                  <c:v>0.13489549274255133</c:v>
                </c:pt>
                <c:pt idx="243">
                  <c:v>0.31755117711040926</c:v>
                </c:pt>
                <c:pt idx="244">
                  <c:v>0.22149122694122611</c:v>
                </c:pt>
                <c:pt idx="245">
                  <c:v>0.23327099797365694</c:v>
                </c:pt>
                <c:pt idx="246">
                  <c:v>0.17494895691609902</c:v>
                </c:pt>
                <c:pt idx="247">
                  <c:v>0.20289163433968638</c:v>
                </c:pt>
                <c:pt idx="248">
                  <c:v>0.15076465607896328</c:v>
                </c:pt>
                <c:pt idx="249">
                  <c:v>0.11668711137347439</c:v>
                </c:pt>
                <c:pt idx="250">
                  <c:v>0.16647518652286386</c:v>
                </c:pt>
                <c:pt idx="252">
                  <c:v>0.21932517006802743</c:v>
                </c:pt>
                <c:pt idx="253">
                  <c:v>0.16183037162118882</c:v>
                </c:pt>
                <c:pt idx="254">
                  <c:v>0.14548467738610532</c:v>
                </c:pt>
                <c:pt idx="255">
                  <c:v>0.20083010573794674</c:v>
                </c:pt>
                <c:pt idx="256">
                  <c:v>0.23079168064486028</c:v>
                </c:pt>
                <c:pt idx="257">
                  <c:v>0.51262576107366065</c:v>
                </c:pt>
                <c:pt idx="258">
                  <c:v>0.12906511866969023</c:v>
                </c:pt>
                <c:pt idx="259">
                  <c:v>0.77337963520069331</c:v>
                </c:pt>
                <c:pt idx="260">
                  <c:v>0.49755348816894218</c:v>
                </c:pt>
                <c:pt idx="261">
                  <c:v>0.12239558430514998</c:v>
                </c:pt>
                <c:pt idx="262">
                  <c:v>0.46118162995356743</c:v>
                </c:pt>
                <c:pt idx="263">
                  <c:v>0.59424692365834453</c:v>
                </c:pt>
                <c:pt idx="264">
                  <c:v>0.29098876336248752</c:v>
                </c:pt>
                <c:pt idx="265">
                  <c:v>0.25130756937695609</c:v>
                </c:pt>
                <c:pt idx="266">
                  <c:v>0.42885425403037125</c:v>
                </c:pt>
                <c:pt idx="267">
                  <c:v>0.13569015671045667</c:v>
                </c:pt>
                <c:pt idx="268">
                  <c:v>0.11592400987792328</c:v>
                </c:pt>
                <c:pt idx="269">
                  <c:v>0.28852666217430278</c:v>
                </c:pt>
                <c:pt idx="270">
                  <c:v>0.21974864311315803</c:v>
                </c:pt>
                <c:pt idx="271">
                  <c:v>0.38638123660423085</c:v>
                </c:pt>
                <c:pt idx="272">
                  <c:v>0.15287321318738159</c:v>
                </c:pt>
                <c:pt idx="273">
                  <c:v>0.27450129251700645</c:v>
                </c:pt>
                <c:pt idx="274">
                  <c:v>0.25363527638600203</c:v>
                </c:pt>
                <c:pt idx="275">
                  <c:v>0.29888704103436053</c:v>
                </c:pt>
                <c:pt idx="276">
                  <c:v>0.16136831774376409</c:v>
                </c:pt>
                <c:pt idx="277">
                  <c:v>0.21302107889884905</c:v>
                </c:pt>
                <c:pt idx="278">
                  <c:v>0.34678731388781836</c:v>
                </c:pt>
                <c:pt idx="279">
                  <c:v>0.16807184301412892</c:v>
                </c:pt>
                <c:pt idx="280">
                  <c:v>0.23481349304939395</c:v>
                </c:pt>
                <c:pt idx="281">
                  <c:v>0.30042491064222288</c:v>
                </c:pt>
                <c:pt idx="282">
                  <c:v>0.15936627383347701</c:v>
                </c:pt>
                <c:pt idx="283">
                  <c:v>0.12654960461341877</c:v>
                </c:pt>
                <c:pt idx="284">
                  <c:v>0.13304170300338977</c:v>
                </c:pt>
                <c:pt idx="285">
                  <c:v>0.13133662288989675</c:v>
                </c:pt>
                <c:pt idx="288">
                  <c:v>0.21191568101693212</c:v>
                </c:pt>
                <c:pt idx="289">
                  <c:v>0.1315374408811146</c:v>
                </c:pt>
                <c:pt idx="290">
                  <c:v>0.26055846643005004</c:v>
                </c:pt>
                <c:pt idx="291">
                  <c:v>0.70551283898174655</c:v>
                </c:pt>
                <c:pt idx="292">
                  <c:v>0.16595608843537377</c:v>
                </c:pt>
                <c:pt idx="293">
                  <c:v>0.10734533813525372</c:v>
                </c:pt>
                <c:pt idx="294">
                  <c:v>0.31927778832463199</c:v>
                </c:pt>
                <c:pt idx="295">
                  <c:v>0.1855923512262041</c:v>
                </c:pt>
                <c:pt idx="296">
                  <c:v>0.17928795694101785</c:v>
                </c:pt>
                <c:pt idx="297">
                  <c:v>7.3246574589431818E-2</c:v>
                </c:pt>
                <c:pt idx="298">
                  <c:v>0.30682009718172859</c:v>
                </c:pt>
                <c:pt idx="299">
                  <c:v>0.1627246816675382</c:v>
                </c:pt>
                <c:pt idx="300">
                  <c:v>0.16539074885165198</c:v>
                </c:pt>
                <c:pt idx="301">
                  <c:v>0.24617173800928305</c:v>
                </c:pt>
                <c:pt idx="302">
                  <c:v>0.122503902040816</c:v>
                </c:pt>
                <c:pt idx="303">
                  <c:v>0.45069994807313152</c:v>
                </c:pt>
                <c:pt idx="304">
                  <c:v>1.275942215966845</c:v>
                </c:pt>
                <c:pt idx="305">
                  <c:v>0.4999986142605185</c:v>
                </c:pt>
                <c:pt idx="306">
                  <c:v>0.50213027210884298</c:v>
                </c:pt>
                <c:pt idx="307">
                  <c:v>0.26274774774774728</c:v>
                </c:pt>
                <c:pt idx="308">
                  <c:v>0.17144712430426698</c:v>
                </c:pt>
                <c:pt idx="309">
                  <c:v>0.50229399452088452</c:v>
                </c:pt>
                <c:pt idx="310">
                  <c:v>0.60022016147949619</c:v>
                </c:pt>
                <c:pt idx="311">
                  <c:v>0.35198619750167004</c:v>
                </c:pt>
                <c:pt idx="312">
                  <c:v>0.13266925817946193</c:v>
                </c:pt>
              </c:numCache>
            </c:numRef>
          </c:xVal>
          <c:yVal>
            <c:numRef>
              <c:f>Stocks!$L$6:$L$318</c:f>
              <c:numCache>
                <c:formatCode>0.00%</c:formatCode>
                <c:ptCount val="313"/>
                <c:pt idx="0">
                  <c:v>0.10476190476190461</c:v>
                </c:pt>
                <c:pt idx="1">
                  <c:v>2.3041474654378113E-2</c:v>
                </c:pt>
                <c:pt idx="2">
                  <c:v>4.9342105263157965E-2</c:v>
                </c:pt>
                <c:pt idx="3">
                  <c:v>0.74725274725274726</c:v>
                </c:pt>
                <c:pt idx="4">
                  <c:v>3.01111111111112E-2</c:v>
                </c:pt>
                <c:pt idx="5">
                  <c:v>8.7499999999999911E-2</c:v>
                </c:pt>
                <c:pt idx="6">
                  <c:v>6.3780487804877994E-2</c:v>
                </c:pt>
                <c:pt idx="7">
                  <c:v>1.8774559743850894E-2</c:v>
                </c:pt>
                <c:pt idx="8">
                  <c:v>0.64655172413793105</c:v>
                </c:pt>
                <c:pt idx="9">
                  <c:v>7.6335877862594437E-3</c:v>
                </c:pt>
                <c:pt idx="10">
                  <c:v>6.3829787234042534E-2</c:v>
                </c:pt>
                <c:pt idx="11">
                  <c:v>0.29281767955801086</c:v>
                </c:pt>
                <c:pt idx="12">
                  <c:v>0.16030534351145032</c:v>
                </c:pt>
                <c:pt idx="13">
                  <c:v>0.27803738317756999</c:v>
                </c:pt>
                <c:pt idx="14">
                  <c:v>0.51063829787234027</c:v>
                </c:pt>
                <c:pt idx="15">
                  <c:v>0.15044247787610621</c:v>
                </c:pt>
                <c:pt idx="16">
                  <c:v>0.19999999999999996</c:v>
                </c:pt>
                <c:pt idx="17">
                  <c:v>0.15025906735751304</c:v>
                </c:pt>
                <c:pt idx="18">
                  <c:v>0.16550522648083632</c:v>
                </c:pt>
                <c:pt idx="19">
                  <c:v>0.15835140997830788</c:v>
                </c:pt>
                <c:pt idx="20">
                  <c:v>0.37790697674418605</c:v>
                </c:pt>
                <c:pt idx="21">
                  <c:v>0.17380352644836261</c:v>
                </c:pt>
                <c:pt idx="22">
                  <c:v>0.14563758389261738</c:v>
                </c:pt>
                <c:pt idx="23">
                  <c:v>0.88888888888888884</c:v>
                </c:pt>
                <c:pt idx="24">
                  <c:v>0.26791866028708133</c:v>
                </c:pt>
                <c:pt idx="25">
                  <c:v>2.3923444976076791E-2</c:v>
                </c:pt>
                <c:pt idx="26">
                  <c:v>1.9148936170212627E-2</c:v>
                </c:pt>
                <c:pt idx="27">
                  <c:v>0.18090909090909091</c:v>
                </c:pt>
                <c:pt idx="28">
                  <c:v>0.1333333333333333</c:v>
                </c:pt>
                <c:pt idx="29">
                  <c:v>0.23762376237623761</c:v>
                </c:pt>
                <c:pt idx="30">
                  <c:v>0.42245989304812825</c:v>
                </c:pt>
                <c:pt idx="31">
                  <c:v>0.26818181818181808</c:v>
                </c:pt>
                <c:pt idx="32">
                  <c:v>0.22135416666666674</c:v>
                </c:pt>
                <c:pt idx="33">
                  <c:v>0.13654618473895574</c:v>
                </c:pt>
                <c:pt idx="34">
                  <c:v>0.26249999999999996</c:v>
                </c:pt>
                <c:pt idx="35">
                  <c:v>5.2173913043478404E-2</c:v>
                </c:pt>
                <c:pt idx="36">
                  <c:v>0.23031496062992129</c:v>
                </c:pt>
                <c:pt idx="37">
                  <c:v>2.5404157043879882E-2</c:v>
                </c:pt>
                <c:pt idx="38">
                  <c:v>0.60194174757281571</c:v>
                </c:pt>
                <c:pt idx="39">
                  <c:v>0.58723404255319145</c:v>
                </c:pt>
                <c:pt idx="40">
                  <c:v>0.25161073825503366</c:v>
                </c:pt>
                <c:pt idx="41">
                  <c:v>0.16891891891891886</c:v>
                </c:pt>
                <c:pt idx="42">
                  <c:v>9.8901098901098994E-2</c:v>
                </c:pt>
                <c:pt idx="43">
                  <c:v>2.6824324324324325</c:v>
                </c:pt>
                <c:pt idx="44">
                  <c:v>0.76470588235294135</c:v>
                </c:pt>
                <c:pt idx="45">
                  <c:v>1.3289036544850585E-2</c:v>
                </c:pt>
                <c:pt idx="46">
                  <c:v>1.0472103004291844</c:v>
                </c:pt>
                <c:pt idx="47">
                  <c:v>0.60919540229885039</c:v>
                </c:pt>
                <c:pt idx="48">
                  <c:v>0.16363636363636358</c:v>
                </c:pt>
                <c:pt idx="49">
                  <c:v>0.70434306569343064</c:v>
                </c:pt>
                <c:pt idx="50">
                  <c:v>1.1710526315789473</c:v>
                </c:pt>
                <c:pt idx="51">
                  <c:v>2.4691358024691468E-2</c:v>
                </c:pt>
                <c:pt idx="52">
                  <c:v>8.0873786407766985</c:v>
                </c:pt>
                <c:pt idx="53">
                  <c:v>9.3301435406698774E-2</c:v>
                </c:pt>
                <c:pt idx="54">
                  <c:v>0.38797814207650272</c:v>
                </c:pt>
                <c:pt idx="55">
                  <c:v>9.0163934426229719E-2</c:v>
                </c:pt>
                <c:pt idx="56">
                  <c:v>5.2837573385518422E-2</c:v>
                </c:pt>
                <c:pt idx="57">
                  <c:v>0.2222222222222221</c:v>
                </c:pt>
                <c:pt idx="58">
                  <c:v>1.754385964912264E-2</c:v>
                </c:pt>
                <c:pt idx="59">
                  <c:v>0</c:v>
                </c:pt>
                <c:pt idx="60">
                  <c:v>6.4628099173553721E-2</c:v>
                </c:pt>
                <c:pt idx="61">
                  <c:v>0.26400000000000001</c:v>
                </c:pt>
                <c:pt idx="62">
                  <c:v>0</c:v>
                </c:pt>
                <c:pt idx="63">
                  <c:v>0</c:v>
                </c:pt>
                <c:pt idx="64">
                  <c:v>0.41032608695652173</c:v>
                </c:pt>
                <c:pt idx="65">
                  <c:v>9.8265895953757232E-2</c:v>
                </c:pt>
                <c:pt idx="66">
                  <c:v>0.24657534246575352</c:v>
                </c:pt>
                <c:pt idx="67">
                  <c:v>0.58634538152610438</c:v>
                </c:pt>
                <c:pt idx="68">
                  <c:v>0.31525423728813551</c:v>
                </c:pt>
                <c:pt idx="69">
                  <c:v>0.88461538461538458</c:v>
                </c:pt>
                <c:pt idx="70">
                  <c:v>0.51785714285714257</c:v>
                </c:pt>
                <c:pt idx="71">
                  <c:v>1.7304964539007095</c:v>
                </c:pt>
                <c:pt idx="72">
                  <c:v>0.75428571428571423</c:v>
                </c:pt>
                <c:pt idx="73">
                  <c:v>11.380191693290735</c:v>
                </c:pt>
                <c:pt idx="74">
                  <c:v>1.3763157894736842</c:v>
                </c:pt>
                <c:pt idx="75">
                  <c:v>0.34928229665071764</c:v>
                </c:pt>
                <c:pt idx="76">
                  <c:v>0.13140604467805517</c:v>
                </c:pt>
                <c:pt idx="77">
                  <c:v>5.4545454545454675E-2</c:v>
                </c:pt>
                <c:pt idx="78">
                  <c:v>0.29875518672199153</c:v>
                </c:pt>
                <c:pt idx="79">
                  <c:v>0.17753623188405809</c:v>
                </c:pt>
                <c:pt idx="80">
                  <c:v>0.33377823408624208</c:v>
                </c:pt>
                <c:pt idx="81">
                  <c:v>0.65297450424929182</c:v>
                </c:pt>
                <c:pt idx="82">
                  <c:v>0.33725490196078445</c:v>
                </c:pt>
                <c:pt idx="83">
                  <c:v>0.3348623853211008</c:v>
                </c:pt>
                <c:pt idx="84">
                  <c:v>0.5095628415300546</c:v>
                </c:pt>
                <c:pt idx="85">
                  <c:v>1.5000000000000004</c:v>
                </c:pt>
                <c:pt idx="86">
                  <c:v>0.11111111111111116</c:v>
                </c:pt>
                <c:pt idx="87">
                  <c:v>1.5</c:v>
                </c:pt>
                <c:pt idx="88">
                  <c:v>0.66666666666666674</c:v>
                </c:pt>
                <c:pt idx="89">
                  <c:v>0.35511363636363624</c:v>
                </c:pt>
                <c:pt idx="90">
                  <c:v>0.14285714285714302</c:v>
                </c:pt>
                <c:pt idx="91">
                  <c:v>0.8333333333333337</c:v>
                </c:pt>
                <c:pt idx="92">
                  <c:v>0.14285714285714302</c:v>
                </c:pt>
                <c:pt idx="93">
                  <c:v>1.25</c:v>
                </c:pt>
                <c:pt idx="94">
                  <c:v>0.60000000000000009</c:v>
                </c:pt>
                <c:pt idx="95">
                  <c:v>0.90909090909090895</c:v>
                </c:pt>
                <c:pt idx="96">
                  <c:v>3.416666666666667</c:v>
                </c:pt>
                <c:pt idx="97">
                  <c:v>0.36363636363636354</c:v>
                </c:pt>
                <c:pt idx="98">
                  <c:v>1.6521739130434785</c:v>
                </c:pt>
                <c:pt idx="99">
                  <c:v>0.47368421052631571</c:v>
                </c:pt>
                <c:pt idx="100">
                  <c:v>0.25925925925925908</c:v>
                </c:pt>
                <c:pt idx="101">
                  <c:v>4.1640340218712026</c:v>
                </c:pt>
                <c:pt idx="102">
                  <c:v>1.8888888888888888</c:v>
                </c:pt>
                <c:pt idx="103">
                  <c:v>1.6175438596491225</c:v>
                </c:pt>
                <c:pt idx="104">
                  <c:v>0.18561872909698995</c:v>
                </c:pt>
                <c:pt idx="105">
                  <c:v>0.26434782608695651</c:v>
                </c:pt>
                <c:pt idx="106">
                  <c:v>0.78571428571428603</c:v>
                </c:pt>
                <c:pt idx="107">
                  <c:v>1.6875</c:v>
                </c:pt>
                <c:pt idx="108">
                  <c:v>0.41666666666666674</c:v>
                </c:pt>
                <c:pt idx="109">
                  <c:v>1.3611111111111112</c:v>
                </c:pt>
                <c:pt idx="110">
                  <c:v>1.3834586466165413</c:v>
                </c:pt>
                <c:pt idx="111">
                  <c:v>0.34545454545454546</c:v>
                </c:pt>
                <c:pt idx="112">
                  <c:v>0.28779342723004686</c:v>
                </c:pt>
                <c:pt idx="113">
                  <c:v>0.17064516129032259</c:v>
                </c:pt>
                <c:pt idx="114">
                  <c:v>0.41564705882352948</c:v>
                </c:pt>
                <c:pt idx="115">
                  <c:v>0.35999999999999988</c:v>
                </c:pt>
                <c:pt idx="116">
                  <c:v>0.42004773269689721</c:v>
                </c:pt>
                <c:pt idx="117">
                  <c:v>0.52173913043478271</c:v>
                </c:pt>
                <c:pt idx="118">
                  <c:v>0.18518518518518512</c:v>
                </c:pt>
                <c:pt idx="119">
                  <c:v>0.12426035502958577</c:v>
                </c:pt>
                <c:pt idx="120">
                  <c:v>0.77499999999999991</c:v>
                </c:pt>
                <c:pt idx="121">
                  <c:v>0.17647058823529416</c:v>
                </c:pt>
                <c:pt idx="122">
                  <c:v>0.28571428571428559</c:v>
                </c:pt>
                <c:pt idx="123">
                  <c:v>1</c:v>
                </c:pt>
                <c:pt idx="124">
                  <c:v>1.1363636363636362</c:v>
                </c:pt>
                <c:pt idx="125">
                  <c:v>0.36956521739130421</c:v>
                </c:pt>
                <c:pt idx="126">
                  <c:v>9.0579710144927494E-2</c:v>
                </c:pt>
                <c:pt idx="127">
                  <c:v>0.32743362831858414</c:v>
                </c:pt>
                <c:pt idx="128">
                  <c:v>1.9238329238329235</c:v>
                </c:pt>
                <c:pt idx="129">
                  <c:v>0.47058823529411753</c:v>
                </c:pt>
                <c:pt idx="130">
                  <c:v>0.44444444444444442</c:v>
                </c:pt>
                <c:pt idx="131">
                  <c:v>0.25839416058394149</c:v>
                </c:pt>
                <c:pt idx="132">
                  <c:v>0.40298507462686572</c:v>
                </c:pt>
                <c:pt idx="133">
                  <c:v>0.30097087378640786</c:v>
                </c:pt>
                <c:pt idx="134">
                  <c:v>0.10596026490066213</c:v>
                </c:pt>
                <c:pt idx="135">
                  <c:v>0.10270270270270276</c:v>
                </c:pt>
                <c:pt idx="136">
                  <c:v>0.1160714285714286</c:v>
                </c:pt>
                <c:pt idx="137">
                  <c:v>0.1734693877551019</c:v>
                </c:pt>
                <c:pt idx="138">
                  <c:v>2.2857142857142856</c:v>
                </c:pt>
                <c:pt idx="139">
                  <c:v>0.12337662337662336</c:v>
                </c:pt>
                <c:pt idx="140">
                  <c:v>0.21739130434782616</c:v>
                </c:pt>
                <c:pt idx="141">
                  <c:v>0.40697674418604657</c:v>
                </c:pt>
                <c:pt idx="142">
                  <c:v>0.12250000000000005</c:v>
                </c:pt>
                <c:pt idx="143">
                  <c:v>0.15294117647058836</c:v>
                </c:pt>
                <c:pt idx="144">
                  <c:v>7.5268817204301008E-2</c:v>
                </c:pt>
                <c:pt idx="145">
                  <c:v>0.12127272727272742</c:v>
                </c:pt>
                <c:pt idx="146">
                  <c:v>0.11999999999999988</c:v>
                </c:pt>
                <c:pt idx="147">
                  <c:v>0.31275720164609044</c:v>
                </c:pt>
                <c:pt idx="148">
                  <c:v>0.18333333333333335</c:v>
                </c:pt>
                <c:pt idx="149">
                  <c:v>0.21246458923512757</c:v>
                </c:pt>
                <c:pt idx="150">
                  <c:v>0.51291512915129145</c:v>
                </c:pt>
                <c:pt idx="151">
                  <c:v>13.815217391304348</c:v>
                </c:pt>
                <c:pt idx="152">
                  <c:v>0.46370967741935476</c:v>
                </c:pt>
                <c:pt idx="153">
                  <c:v>1.9753086419753041E-2</c:v>
                </c:pt>
                <c:pt idx="154">
                  <c:v>0</c:v>
                </c:pt>
                <c:pt idx="155">
                  <c:v>5.4545454545454453E-2</c:v>
                </c:pt>
                <c:pt idx="156">
                  <c:v>0.27483443708609268</c:v>
                </c:pt>
                <c:pt idx="157">
                  <c:v>0.1150442477876108</c:v>
                </c:pt>
                <c:pt idx="158">
                  <c:v>9.3023255813953654E-2</c:v>
                </c:pt>
                <c:pt idx="159">
                  <c:v>0.34545454545454546</c:v>
                </c:pt>
                <c:pt idx="160">
                  <c:v>0.48258706467661705</c:v>
                </c:pt>
                <c:pt idx="161">
                  <c:v>1.2318840579710146</c:v>
                </c:pt>
                <c:pt idx="162">
                  <c:v>0.14572864321608026</c:v>
                </c:pt>
                <c:pt idx="163">
                  <c:v>4.8780487804878092E-3</c:v>
                </c:pt>
                <c:pt idx="164">
                  <c:v>0</c:v>
                </c:pt>
                <c:pt idx="165">
                  <c:v>0.72321428571428559</c:v>
                </c:pt>
                <c:pt idx="166">
                  <c:v>1.0869565217391353E-2</c:v>
                </c:pt>
                <c:pt idx="167">
                  <c:v>2.1582733812949728E-2</c:v>
                </c:pt>
                <c:pt idx="168">
                  <c:v>1.1249999999999982E-2</c:v>
                </c:pt>
                <c:pt idx="169">
                  <c:v>0</c:v>
                </c:pt>
                <c:pt idx="170">
                  <c:v>0.17669172932330812</c:v>
                </c:pt>
                <c:pt idx="171">
                  <c:v>2</c:v>
                </c:pt>
                <c:pt idx="172">
                  <c:v>0.21072796934865901</c:v>
                </c:pt>
                <c:pt idx="173">
                  <c:v>0.55967450271247743</c:v>
                </c:pt>
                <c:pt idx="174">
                  <c:v>0.36931216931216926</c:v>
                </c:pt>
                <c:pt idx="175">
                  <c:v>0.76026634382566582</c:v>
                </c:pt>
                <c:pt idx="176">
                  <c:v>0.67571059431524549</c:v>
                </c:pt>
                <c:pt idx="177">
                  <c:v>2.6907563025210086</c:v>
                </c:pt>
                <c:pt idx="178">
                  <c:v>9.7625329815303363E-2</c:v>
                </c:pt>
                <c:pt idx="179">
                  <c:v>0.19024390243902456</c:v>
                </c:pt>
                <c:pt idx="180">
                  <c:v>0.66137566137566162</c:v>
                </c:pt>
                <c:pt idx="181">
                  <c:v>0.81777777777777771</c:v>
                </c:pt>
                <c:pt idx="182">
                  <c:v>0</c:v>
                </c:pt>
                <c:pt idx="183">
                  <c:v>0.1408839779005524</c:v>
                </c:pt>
                <c:pt idx="184">
                  <c:v>4.9019607843137081E-3</c:v>
                </c:pt>
                <c:pt idx="185">
                  <c:v>0.46415094339622653</c:v>
                </c:pt>
                <c:pt idx="186">
                  <c:v>0.2975000000000001</c:v>
                </c:pt>
                <c:pt idx="187">
                  <c:v>0.17153284671532831</c:v>
                </c:pt>
                <c:pt idx="188">
                  <c:v>1.3783783783783785</c:v>
                </c:pt>
                <c:pt idx="189">
                  <c:v>1.3661971830985919</c:v>
                </c:pt>
                <c:pt idx="190">
                  <c:v>3.125</c:v>
                </c:pt>
                <c:pt idx="191">
                  <c:v>1.1086956521739131</c:v>
                </c:pt>
                <c:pt idx="192">
                  <c:v>0</c:v>
                </c:pt>
                <c:pt idx="193">
                  <c:v>2.2833333333333332</c:v>
                </c:pt>
                <c:pt idx="194">
                  <c:v>0.66666666666666674</c:v>
                </c:pt>
                <c:pt idx="195">
                  <c:v>4.5555555555555554</c:v>
                </c:pt>
                <c:pt idx="196">
                  <c:v>0.14999999999999991</c:v>
                </c:pt>
                <c:pt idx="197">
                  <c:v>1.5384615384615388</c:v>
                </c:pt>
                <c:pt idx="198">
                  <c:v>1.8333333333333335</c:v>
                </c:pt>
                <c:pt idx="199">
                  <c:v>1.6315789473684212</c:v>
                </c:pt>
                <c:pt idx="200">
                  <c:v>0.53125</c:v>
                </c:pt>
                <c:pt idx="201">
                  <c:v>0.26301369863013702</c:v>
                </c:pt>
                <c:pt idx="202">
                  <c:v>0.97584541062801944</c:v>
                </c:pt>
                <c:pt idx="203">
                  <c:v>0.68981481481481466</c:v>
                </c:pt>
                <c:pt idx="204">
                  <c:v>0.63934426229508223</c:v>
                </c:pt>
                <c:pt idx="205">
                  <c:v>0.4137931034482758</c:v>
                </c:pt>
                <c:pt idx="206">
                  <c:v>0.82608695652173902</c:v>
                </c:pt>
                <c:pt idx="207">
                  <c:v>0.11127819548872186</c:v>
                </c:pt>
                <c:pt idx="208">
                  <c:v>1.1510791366906479</c:v>
                </c:pt>
                <c:pt idx="209">
                  <c:v>0.18500000000000005</c:v>
                </c:pt>
                <c:pt idx="210">
                  <c:v>15.111111111111111</c:v>
                </c:pt>
                <c:pt idx="211">
                  <c:v>8.6153846153846168</c:v>
                </c:pt>
                <c:pt idx="212">
                  <c:v>3.986522911051213</c:v>
                </c:pt>
                <c:pt idx="213">
                  <c:v>0.59375</c:v>
                </c:pt>
                <c:pt idx="214">
                  <c:v>4.4629629629629628</c:v>
                </c:pt>
                <c:pt idx="215">
                  <c:v>105.25</c:v>
                </c:pt>
                <c:pt idx="216">
                  <c:v>11.546558704453439</c:v>
                </c:pt>
                <c:pt idx="217">
                  <c:v>0.23595505617977519</c:v>
                </c:pt>
                <c:pt idx="218">
                  <c:v>0.679245283018868</c:v>
                </c:pt>
                <c:pt idx="219">
                  <c:v>0.15202797202797202</c:v>
                </c:pt>
                <c:pt idx="220">
                  <c:v>0.23123123123123102</c:v>
                </c:pt>
                <c:pt idx="221">
                  <c:v>0.5</c:v>
                </c:pt>
                <c:pt idx="222">
                  <c:v>3.4158878504672892</c:v>
                </c:pt>
                <c:pt idx="223">
                  <c:v>1.1862745098039214</c:v>
                </c:pt>
                <c:pt idx="224">
                  <c:v>1.3160919540229887</c:v>
                </c:pt>
                <c:pt idx="225">
                  <c:v>0.89922480620155043</c:v>
                </c:pt>
                <c:pt idx="226">
                  <c:v>1.7631578947368425</c:v>
                </c:pt>
                <c:pt idx="227">
                  <c:v>4.7002881844380404</c:v>
                </c:pt>
                <c:pt idx="228">
                  <c:v>0.49769585253456228</c:v>
                </c:pt>
                <c:pt idx="229">
                  <c:v>0.72</c:v>
                </c:pt>
                <c:pt idx="230">
                  <c:v>0.68831168831168821</c:v>
                </c:pt>
                <c:pt idx="231">
                  <c:v>1.5978835978835981</c:v>
                </c:pt>
                <c:pt idx="232">
                  <c:v>3.7222222222222223</c:v>
                </c:pt>
                <c:pt idx="233">
                  <c:v>0.9576719576719579</c:v>
                </c:pt>
                <c:pt idx="234">
                  <c:v>0.4049586776859504</c:v>
                </c:pt>
                <c:pt idx="235">
                  <c:v>0.97169811320754684</c:v>
                </c:pt>
                <c:pt idx="236">
                  <c:v>0.91089108910891081</c:v>
                </c:pt>
                <c:pt idx="237">
                  <c:v>6.584269662921348</c:v>
                </c:pt>
                <c:pt idx="238">
                  <c:v>1.6774193548387095</c:v>
                </c:pt>
                <c:pt idx="239">
                  <c:v>1.5347222222222223</c:v>
                </c:pt>
                <c:pt idx="240">
                  <c:v>0.68217054263565879</c:v>
                </c:pt>
                <c:pt idx="241">
                  <c:v>1.0112359550561796</c:v>
                </c:pt>
                <c:pt idx="242">
                  <c:v>1.5906735751295336</c:v>
                </c:pt>
                <c:pt idx="243">
                  <c:v>7.7601078167115904</c:v>
                </c:pt>
                <c:pt idx="244">
                  <c:v>2.1962616822429903</c:v>
                </c:pt>
                <c:pt idx="245">
                  <c:v>0.77894736842105261</c:v>
                </c:pt>
                <c:pt idx="246">
                  <c:v>11.980952380952381</c:v>
                </c:pt>
                <c:pt idx="247">
                  <c:v>0.393877551020408</c:v>
                </c:pt>
                <c:pt idx="248">
                  <c:v>1.9636363636363634</c:v>
                </c:pt>
                <c:pt idx="249">
                  <c:v>1.4308943089430897</c:v>
                </c:pt>
                <c:pt idx="250">
                  <c:v>5.8775510204081636</c:v>
                </c:pt>
                <c:pt idx="251">
                  <c:v>8.3117408906882595</c:v>
                </c:pt>
                <c:pt idx="252">
                  <c:v>5.6412213740458004</c:v>
                </c:pt>
                <c:pt idx="253">
                  <c:v>4.522388059701492</c:v>
                </c:pt>
                <c:pt idx="254">
                  <c:v>3.0437158469945356</c:v>
                </c:pt>
                <c:pt idx="255">
                  <c:v>0.43611111111111112</c:v>
                </c:pt>
                <c:pt idx="256">
                  <c:v>2.2653061224489797</c:v>
                </c:pt>
                <c:pt idx="257">
                  <c:v>0.16630669546436305</c:v>
                </c:pt>
                <c:pt idx="258">
                  <c:v>1.158311345646438</c:v>
                </c:pt>
                <c:pt idx="259">
                  <c:v>3.8675373134328357</c:v>
                </c:pt>
                <c:pt idx="260">
                  <c:v>0.96722408026755824</c:v>
                </c:pt>
                <c:pt idx="261">
                  <c:v>4.8391959798994968</c:v>
                </c:pt>
                <c:pt idx="262">
                  <c:v>0.41295546558704443</c:v>
                </c:pt>
                <c:pt idx="263">
                  <c:v>1.2592592592592591</c:v>
                </c:pt>
                <c:pt idx="264">
                  <c:v>3.9610389610389607</c:v>
                </c:pt>
                <c:pt idx="265">
                  <c:v>3.179347826086957</c:v>
                </c:pt>
                <c:pt idx="266">
                  <c:v>1535.9230769230771</c:v>
                </c:pt>
                <c:pt idx="267">
                  <c:v>2.2083333333333335</c:v>
                </c:pt>
                <c:pt idx="268">
                  <c:v>4.957243816254417</c:v>
                </c:pt>
                <c:pt idx="269">
                  <c:v>1.8192771084337349</c:v>
                </c:pt>
                <c:pt idx="270">
                  <c:v>1.2967032967032965</c:v>
                </c:pt>
                <c:pt idx="271">
                  <c:v>0.5490196078431373</c:v>
                </c:pt>
                <c:pt idx="272">
                  <c:v>1.552204176334107</c:v>
                </c:pt>
                <c:pt idx="273">
                  <c:v>2.1554054054054053</c:v>
                </c:pt>
                <c:pt idx="274">
                  <c:v>0.85813953488372108</c:v>
                </c:pt>
                <c:pt idx="275">
                  <c:v>1.7540983606557377</c:v>
                </c:pt>
                <c:pt idx="276">
                  <c:v>1.2021276595744679</c:v>
                </c:pt>
                <c:pt idx="277">
                  <c:v>1.7307692307692304</c:v>
                </c:pt>
                <c:pt idx="278">
                  <c:v>1.2576112412177989</c:v>
                </c:pt>
                <c:pt idx="279">
                  <c:v>3.1847133757961785</c:v>
                </c:pt>
                <c:pt idx="280">
                  <c:v>1.9661016949152543</c:v>
                </c:pt>
                <c:pt idx="281">
                  <c:v>10.627118644067798</c:v>
                </c:pt>
                <c:pt idx="282">
                  <c:v>1.8767123287671232</c:v>
                </c:pt>
                <c:pt idx="283">
                  <c:v>1.5906735751295336</c:v>
                </c:pt>
                <c:pt idx="284">
                  <c:v>26.051724137931036</c:v>
                </c:pt>
                <c:pt idx="285">
                  <c:v>57.817460317460316</c:v>
                </c:pt>
                <c:pt idx="286">
                  <c:v>5.4189189189189184</c:v>
                </c:pt>
                <c:pt idx="287">
                  <c:v>0.94945848375451281</c:v>
                </c:pt>
                <c:pt idx="288">
                  <c:v>11.773722627737225</c:v>
                </c:pt>
                <c:pt idx="289">
                  <c:v>0.35463258785942497</c:v>
                </c:pt>
                <c:pt idx="290">
                  <c:v>2.9740740740740739</c:v>
                </c:pt>
                <c:pt idx="291">
                  <c:v>39.361990950226243</c:v>
                </c:pt>
                <c:pt idx="292">
                  <c:v>0.95945945945945943</c:v>
                </c:pt>
                <c:pt idx="293">
                  <c:v>2.0627450980392159</c:v>
                </c:pt>
                <c:pt idx="294">
                  <c:v>1.1494252873563218</c:v>
                </c:pt>
                <c:pt idx="295">
                  <c:v>2.5542168674698797</c:v>
                </c:pt>
                <c:pt idx="296">
                  <c:v>3.9459459459459465</c:v>
                </c:pt>
                <c:pt idx="297">
                  <c:v>23.363636363636363</c:v>
                </c:pt>
                <c:pt idx="298">
                  <c:v>3.7767857142857135</c:v>
                </c:pt>
                <c:pt idx="299">
                  <c:v>26.897435897435898</c:v>
                </c:pt>
                <c:pt idx="300">
                  <c:v>4.2175438596491226</c:v>
                </c:pt>
                <c:pt idx="301">
                  <c:v>3.1516245487364625</c:v>
                </c:pt>
                <c:pt idx="302">
                  <c:v>1.943548387096774</c:v>
                </c:pt>
                <c:pt idx="303">
                  <c:v>2.2531400966183579</c:v>
                </c:pt>
                <c:pt idx="304">
                  <c:v>13.798850574712645</c:v>
                </c:pt>
                <c:pt idx="305">
                  <c:v>5.7407407407407405</c:v>
                </c:pt>
                <c:pt idx="306">
                  <c:v>0.5</c:v>
                </c:pt>
                <c:pt idx="307">
                  <c:v>177.1081081081081</c:v>
                </c:pt>
                <c:pt idx="308">
                  <c:v>10.212121212121211</c:v>
                </c:pt>
                <c:pt idx="309">
                  <c:v>0.33720930232558155</c:v>
                </c:pt>
                <c:pt idx="310">
                  <c:v>3.894327030033371</c:v>
                </c:pt>
                <c:pt idx="311">
                  <c:v>0.46627565982404717</c:v>
                </c:pt>
                <c:pt idx="312">
                  <c:v>186.64705882352942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7D-4616-A493-B46E9932A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623999"/>
        <c:axId val="1744647295"/>
      </c:scatterChart>
      <c:valAx>
        <c:axId val="174462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Delta(200,100,50,50d,20,14,8) "SMAs" </a:t>
                </a:r>
              </a:p>
            </c:rich>
          </c:tx>
          <c:layout>
            <c:manualLayout>
              <c:xMode val="edge"/>
              <c:yMode val="edge"/>
              <c:x val="0.30429909265971322"/>
              <c:y val="0.91762158797583593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108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47295"/>
        <c:crosses val="autoZero"/>
        <c:crossBetween val="midCat"/>
      </c:valAx>
      <c:valAx>
        <c:axId val="17446472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%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2399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strike="noStrike" kern="1200" spc="0" normalizeH="0" baseline="0" noProof="0">
                <a:ln>
                  <a:noFill/>
                  <a:prstDash val="solid"/>
                </a:ln>
                <a:solidFill>
                  <a:sysClr val="windowText" lastClr="000000">
                    <a:lumOff val="35000"/>
                    <a:lumMod val="65000"/>
                  </a:sysClr>
                </a:solidFill>
                <a:uLnTx/>
                <a:uFillTx/>
                <a:latin typeface="Calibri" panose="020F0502020204030204"/>
              </a:rPr>
              <a:t>Chart Title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  <a:prstDash val="solid"/>
            </a:ln>
          </c:spPr>
          <c:invertIfNegative val="0"/>
          <c:val>
            <c:numRef>
              <c:f>Stockstats!$E$33:$E$162</c:f>
              <c:numCache>
                <c:formatCode>General</c:formatCode>
                <c:ptCount val="130"/>
                <c:pt idx="0">
                  <c:v>112</c:v>
                </c:pt>
                <c:pt idx="1">
                  <c:v>54</c:v>
                </c:pt>
                <c:pt idx="2">
                  <c:v>30</c:v>
                </c:pt>
                <c:pt idx="3">
                  <c:v>17</c:v>
                </c:pt>
                <c:pt idx="4">
                  <c:v>15</c:v>
                </c:pt>
                <c:pt idx="5">
                  <c:v>16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7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1-4F18-9101-9F6F743C7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30843487"/>
        <c:axId val="330844319"/>
      </c:barChart>
      <c:catAx>
        <c:axId val="330843487"/>
        <c:scaling>
          <c:orientation val="minMax"/>
        </c:scaling>
        <c:delete val="0"/>
        <c:axPos val="b"/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44319"/>
        <c:crosses val="autoZero"/>
        <c:auto val="1"/>
        <c:lblAlgn val="ctr"/>
        <c:lblOffset val="100"/>
        <c:noMultiLvlLbl val="0"/>
      </c:catAx>
      <c:valAx>
        <c:axId val="33084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43487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 sz="1600">
                <a:solidFill>
                  <a:schemeClr val="bg1"/>
                </a:solidFill>
              </a:rPr>
              <a:t>Peak % vs Normalized Delta(AvgATR(14), 50), ATR(14))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'Delta(ATR(14))'</c:v>
          </c:tx>
          <c:spPr>
            <a:ln w="25400" cap="rnd">
              <a:noFill/>
              <a:prstDash val="solid"/>
            </a:ln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3.1299023736460027E-2"/>
                  <c:y val="-7.3270397022066211E-2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Stocks!$BX$6:$BX$318</c:f>
              <c:numCache>
                <c:formatCode>General</c:formatCode>
                <c:ptCount val="313"/>
                <c:pt idx="38">
                  <c:v>2.6086563045203889E-2</c:v>
                </c:pt>
                <c:pt idx="39">
                  <c:v>2.4852849973554469E-2</c:v>
                </c:pt>
                <c:pt idx="40">
                  <c:v>5.2348648466165493E-2</c:v>
                </c:pt>
                <c:pt idx="41">
                  <c:v>2.7538506061780127E-2</c:v>
                </c:pt>
                <c:pt idx="43">
                  <c:v>3.0828059858921092E-2</c:v>
                </c:pt>
                <c:pt idx="44">
                  <c:v>0.20700149933748413</c:v>
                </c:pt>
                <c:pt idx="45">
                  <c:v>-5.7147682618232665E-3</c:v>
                </c:pt>
                <c:pt idx="46">
                  <c:v>-5.8882505770456242E-2</c:v>
                </c:pt>
                <c:pt idx="47">
                  <c:v>-1.5197409129865433E-2</c:v>
                </c:pt>
                <c:pt idx="48">
                  <c:v>1.7010493109876013E-2</c:v>
                </c:pt>
                <c:pt idx="49">
                  <c:v>1.7605806466378104E-2</c:v>
                </c:pt>
                <c:pt idx="50">
                  <c:v>4.3465237202506724E-2</c:v>
                </c:pt>
                <c:pt idx="51">
                  <c:v>6.657661927221406E-3</c:v>
                </c:pt>
                <c:pt idx="52">
                  <c:v>-5.551112938361237E-2</c:v>
                </c:pt>
                <c:pt idx="53">
                  <c:v>0.11945834748982899</c:v>
                </c:pt>
                <c:pt idx="54">
                  <c:v>2.6667856844683063E-2</c:v>
                </c:pt>
                <c:pt idx="55">
                  <c:v>7.8214502003867287E-3</c:v>
                </c:pt>
                <c:pt idx="56">
                  <c:v>4.8049480159126134E-2</c:v>
                </c:pt>
                <c:pt idx="57">
                  <c:v>3.8843310418130134E-2</c:v>
                </c:pt>
                <c:pt idx="58">
                  <c:v>2.01290134649319E-2</c:v>
                </c:pt>
                <c:pt idx="59">
                  <c:v>0</c:v>
                </c:pt>
                <c:pt idx="60">
                  <c:v>5.0914106496651637E-2</c:v>
                </c:pt>
                <c:pt idx="61">
                  <c:v>2.8978175265522953E-2</c:v>
                </c:pt>
                <c:pt idx="62">
                  <c:v>6.6102595642374445E-2</c:v>
                </c:pt>
                <c:pt idx="63">
                  <c:v>2.1788296131225626E-2</c:v>
                </c:pt>
                <c:pt idx="64">
                  <c:v>8.8196916214585114E-2</c:v>
                </c:pt>
                <c:pt idx="65">
                  <c:v>-7.5252067192446773E-3</c:v>
                </c:pt>
                <c:pt idx="66">
                  <c:v>-5.3199314077674531E-2</c:v>
                </c:pt>
                <c:pt idx="67">
                  <c:v>9.1937119710670465E-3</c:v>
                </c:pt>
                <c:pt idx="68">
                  <c:v>2.4928960396983113E-2</c:v>
                </c:pt>
                <c:pt idx="69">
                  <c:v>5.8812711317717384E-2</c:v>
                </c:pt>
                <c:pt idx="70">
                  <c:v>7.9430701622470332E-2</c:v>
                </c:pt>
                <c:pt idx="71">
                  <c:v>4.3527890985680107E-2</c:v>
                </c:pt>
                <c:pt idx="72">
                  <c:v>5.0467697642571016E-2</c:v>
                </c:pt>
                <c:pt idx="73">
                  <c:v>5.5095283395743738E-2</c:v>
                </c:pt>
                <c:pt idx="74">
                  <c:v>-6.8229479946144561E-3</c:v>
                </c:pt>
                <c:pt idx="75">
                  <c:v>-3.3102824664104288E-2</c:v>
                </c:pt>
                <c:pt idx="77">
                  <c:v>3.6299510491752826E-2</c:v>
                </c:pt>
                <c:pt idx="78">
                  <c:v>1.0914907899109899E-2</c:v>
                </c:pt>
                <c:pt idx="79">
                  <c:v>-3.234234989997864E-2</c:v>
                </c:pt>
                <c:pt idx="80">
                  <c:v>1.2234139209322759E-2</c:v>
                </c:pt>
                <c:pt idx="81">
                  <c:v>-4.4843914649969827E-2</c:v>
                </c:pt>
                <c:pt idx="82">
                  <c:v>-1.495623802897196E-2</c:v>
                </c:pt>
                <c:pt idx="83">
                  <c:v>1.6860273159621242E-2</c:v>
                </c:pt>
                <c:pt idx="84">
                  <c:v>9.9373411580544052E-2</c:v>
                </c:pt>
                <c:pt idx="85">
                  <c:v>1.138791593514521E-2</c:v>
                </c:pt>
                <c:pt idx="86">
                  <c:v>9.1468741931619441E-3</c:v>
                </c:pt>
                <c:pt idx="87">
                  <c:v>-3.1694862923423807E-2</c:v>
                </c:pt>
                <c:pt idx="88">
                  <c:v>4.2958466781754467E-2</c:v>
                </c:pt>
                <c:pt idx="89">
                  <c:v>7.9653094532986662E-3</c:v>
                </c:pt>
                <c:pt idx="90">
                  <c:v>-2.0238060200685748E-2</c:v>
                </c:pt>
                <c:pt idx="91">
                  <c:v>2.3517670112449721E-2</c:v>
                </c:pt>
                <c:pt idx="92">
                  <c:v>1.1019380976089177E-3</c:v>
                </c:pt>
                <c:pt idx="93">
                  <c:v>-3.1860458259566057E-2</c:v>
                </c:pt>
                <c:pt idx="94">
                  <c:v>-2.4000416518126663E-2</c:v>
                </c:pt>
                <c:pt idx="95">
                  <c:v>9.9358224317941446E-2</c:v>
                </c:pt>
                <c:pt idx="96">
                  <c:v>1.6883627468278012E-2</c:v>
                </c:pt>
                <c:pt idx="97">
                  <c:v>-8.4632931525746025E-3</c:v>
                </c:pt>
                <c:pt idx="98">
                  <c:v>0</c:v>
                </c:pt>
                <c:pt idx="99">
                  <c:v>-2.4922127872040206E-2</c:v>
                </c:pt>
                <c:pt idx="100">
                  <c:v>-5.37508587855616E-3</c:v>
                </c:pt>
                <c:pt idx="101">
                  <c:v>2.9712135648397753E-2</c:v>
                </c:pt>
                <c:pt idx="102">
                  <c:v>3.4747366931766055E-3</c:v>
                </c:pt>
                <c:pt idx="103">
                  <c:v>9.9889942179735569E-3</c:v>
                </c:pt>
                <c:pt idx="104">
                  <c:v>-1.7811420077738283E-2</c:v>
                </c:pt>
                <c:pt idx="105">
                  <c:v>1.2468705684426443E-2</c:v>
                </c:pt>
                <c:pt idx="106">
                  <c:v>2.1379119578960361E-2</c:v>
                </c:pt>
                <c:pt idx="107">
                  <c:v>3.8445369085479145E-2</c:v>
                </c:pt>
                <c:pt idx="108">
                  <c:v>-5.6027467929211372E-3</c:v>
                </c:pt>
                <c:pt idx="109">
                  <c:v>8.9322493904595721E-2</c:v>
                </c:pt>
                <c:pt idx="110">
                  <c:v>3.1519699168999257E-2</c:v>
                </c:pt>
                <c:pt idx="111">
                  <c:v>0.10738007249404583</c:v>
                </c:pt>
                <c:pt idx="112">
                  <c:v>1.9291416718303728E-2</c:v>
                </c:pt>
                <c:pt idx="113">
                  <c:v>1.9628823930064362E-2</c:v>
                </c:pt>
                <c:pt idx="114">
                  <c:v>2.0101870968446636E-2</c:v>
                </c:pt>
                <c:pt idx="115">
                  <c:v>3.4492539490434584E-2</c:v>
                </c:pt>
                <c:pt idx="116">
                  <c:v>0.38273096843224036</c:v>
                </c:pt>
                <c:pt idx="117">
                  <c:v>0.36886330233504244</c:v>
                </c:pt>
                <c:pt idx="118">
                  <c:v>0.32337351803989334</c:v>
                </c:pt>
                <c:pt idx="119">
                  <c:v>3.2110901125157743E-2</c:v>
                </c:pt>
                <c:pt idx="120">
                  <c:v>0.26013612544935993</c:v>
                </c:pt>
                <c:pt idx="121">
                  <c:v>6.3163787726256734E-2</c:v>
                </c:pt>
                <c:pt idx="122">
                  <c:v>4.1837470444461108E-2</c:v>
                </c:pt>
                <c:pt idx="123">
                  <c:v>8.8096150344619331E-2</c:v>
                </c:pt>
                <c:pt idx="124">
                  <c:v>0.10007701525493237</c:v>
                </c:pt>
                <c:pt idx="125">
                  <c:v>6.9034026174288443E-2</c:v>
                </c:pt>
                <c:pt idx="127">
                  <c:v>4.2363533934278996E-2</c:v>
                </c:pt>
                <c:pt idx="128">
                  <c:v>0.20749812762261913</c:v>
                </c:pt>
                <c:pt idx="129">
                  <c:v>0.11630731301121669</c:v>
                </c:pt>
                <c:pt idx="130">
                  <c:v>7.3760094405170007E-2</c:v>
                </c:pt>
                <c:pt idx="131">
                  <c:v>0.13217367976179309</c:v>
                </c:pt>
                <c:pt idx="132">
                  <c:v>-0.26499199964121184</c:v>
                </c:pt>
                <c:pt idx="133">
                  <c:v>7.7788312367571777E-2</c:v>
                </c:pt>
                <c:pt idx="134">
                  <c:v>4.2897117777395355E-2</c:v>
                </c:pt>
                <c:pt idx="135">
                  <c:v>0.17440277679920191</c:v>
                </c:pt>
                <c:pt idx="136">
                  <c:v>1.499253090253274E-2</c:v>
                </c:pt>
                <c:pt idx="137">
                  <c:v>0.23042795302291369</c:v>
                </c:pt>
                <c:pt idx="138">
                  <c:v>-1.8073215462521885E-2</c:v>
                </c:pt>
                <c:pt idx="161">
                  <c:v>-2.5739189673677138E-2</c:v>
                </c:pt>
                <c:pt idx="162">
                  <c:v>0.13217367976179309</c:v>
                </c:pt>
                <c:pt idx="163">
                  <c:v>-0.26499199964121184</c:v>
                </c:pt>
                <c:pt idx="164">
                  <c:v>7.7788312367571777E-2</c:v>
                </c:pt>
                <c:pt idx="165">
                  <c:v>4.2897117777395355E-2</c:v>
                </c:pt>
                <c:pt idx="166">
                  <c:v>0.17440277679920191</c:v>
                </c:pt>
                <c:pt idx="167">
                  <c:v>-1.6863762486856004E-2</c:v>
                </c:pt>
                <c:pt idx="168">
                  <c:v>0.23042795302291369</c:v>
                </c:pt>
                <c:pt idx="169">
                  <c:v>-1.8073215462521885E-2</c:v>
                </c:pt>
                <c:pt idx="170">
                  <c:v>-2.9863334010362869E-2</c:v>
                </c:pt>
                <c:pt idx="171">
                  <c:v>-3.1873553700235258E-2</c:v>
                </c:pt>
                <c:pt idx="172">
                  <c:v>2.5113297411417879E-2</c:v>
                </c:pt>
                <c:pt idx="173">
                  <c:v>-7.2590246759332122E-2</c:v>
                </c:pt>
                <c:pt idx="174">
                  <c:v>-0.16093480558050055</c:v>
                </c:pt>
                <c:pt idx="175">
                  <c:v>-1.2188790289851745E-2</c:v>
                </c:pt>
                <c:pt idx="176">
                  <c:v>-3.2619016538808027E-2</c:v>
                </c:pt>
                <c:pt idx="177">
                  <c:v>-5.7276131601960836E-2</c:v>
                </c:pt>
                <c:pt idx="178">
                  <c:v>-2.8368799504494835E-2</c:v>
                </c:pt>
                <c:pt idx="179">
                  <c:v>-4.5112188735414782E-2</c:v>
                </c:pt>
                <c:pt idx="180">
                  <c:v>-7.4101804081954825E-2</c:v>
                </c:pt>
                <c:pt idx="181">
                  <c:v>1.6654504073166793E-3</c:v>
                </c:pt>
                <c:pt idx="182">
                  <c:v>4.0062295405243059E-2</c:v>
                </c:pt>
                <c:pt idx="183">
                  <c:v>1.8685109864756827E-2</c:v>
                </c:pt>
                <c:pt idx="184">
                  <c:v>1.7171173289655603E-2</c:v>
                </c:pt>
                <c:pt idx="185">
                  <c:v>3.9353865955526451E-2</c:v>
                </c:pt>
                <c:pt idx="186">
                  <c:v>-3.8118373877659706E-3</c:v>
                </c:pt>
                <c:pt idx="187">
                  <c:v>-8.2756759061160673E-3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-1.9721404913321444E-2</c:v>
                </c:pt>
                <c:pt idx="199">
                  <c:v>2.7102797066938689E-2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-1.8073215462521885E-2</c:v>
                </c:pt>
                <c:pt idx="213">
                  <c:v>0.23042795302291369</c:v>
                </c:pt>
                <c:pt idx="214">
                  <c:v>0.17440277679920191</c:v>
                </c:pt>
                <c:pt idx="215">
                  <c:v>1.499253090253274E-2</c:v>
                </c:pt>
                <c:pt idx="216">
                  <c:v>0</c:v>
                </c:pt>
                <c:pt idx="217">
                  <c:v>0.11630731301121669</c:v>
                </c:pt>
                <c:pt idx="218">
                  <c:v>-0.26499199964121184</c:v>
                </c:pt>
                <c:pt idx="219">
                  <c:v>4.2363533934278996E-2</c:v>
                </c:pt>
                <c:pt idx="220">
                  <c:v>0.20749812762261913</c:v>
                </c:pt>
                <c:pt idx="221">
                  <c:v>7.3760094405170007E-2</c:v>
                </c:pt>
                <c:pt idx="222">
                  <c:v>0.13217367976179309</c:v>
                </c:pt>
                <c:pt idx="223">
                  <c:v>6.9034026174288443E-2</c:v>
                </c:pt>
                <c:pt idx="224">
                  <c:v>0.38273096843224036</c:v>
                </c:pt>
                <c:pt idx="225">
                  <c:v>4.2897117777395355E-2</c:v>
                </c:pt>
                <c:pt idx="226">
                  <c:v>7.7788312367571777E-2</c:v>
                </c:pt>
                <c:pt idx="227">
                  <c:v>0.32337351803989334</c:v>
                </c:pt>
                <c:pt idx="229">
                  <c:v>3.1519699168999257E-2</c:v>
                </c:pt>
                <c:pt idx="230">
                  <c:v>2.0101870968446636E-2</c:v>
                </c:pt>
                <c:pt idx="231">
                  <c:v>1.9291416718303728E-2</c:v>
                </c:pt>
                <c:pt idx="232">
                  <c:v>0.10738007249404583</c:v>
                </c:pt>
                <c:pt idx="233">
                  <c:v>3.4492539490434584E-2</c:v>
                </c:pt>
                <c:pt idx="234">
                  <c:v>6.3163787726256734E-2</c:v>
                </c:pt>
                <c:pt idx="235">
                  <c:v>0.10007701525493237</c:v>
                </c:pt>
                <c:pt idx="236">
                  <c:v>8.8096150344619331E-2</c:v>
                </c:pt>
                <c:pt idx="237">
                  <c:v>0.26013612544935993</c:v>
                </c:pt>
                <c:pt idx="238">
                  <c:v>1.9628823930064362E-2</c:v>
                </c:pt>
                <c:pt idx="239">
                  <c:v>4.1837470444461108E-2</c:v>
                </c:pt>
                <c:pt idx="240">
                  <c:v>3.2110901125157743E-2</c:v>
                </c:pt>
                <c:pt idx="241">
                  <c:v>7.3853396440046445E-2</c:v>
                </c:pt>
                <c:pt idx="242">
                  <c:v>2.1379119578960361E-2</c:v>
                </c:pt>
                <c:pt idx="243">
                  <c:v>0.15927319093968828</c:v>
                </c:pt>
                <c:pt idx="244">
                  <c:v>5.2292154797134505E-2</c:v>
                </c:pt>
                <c:pt idx="245">
                  <c:v>1.5916381411815367E-2</c:v>
                </c:pt>
                <c:pt idx="246">
                  <c:v>0.19752306078681683</c:v>
                </c:pt>
                <c:pt idx="247">
                  <c:v>0.14377363777458541</c:v>
                </c:pt>
                <c:pt idx="248">
                  <c:v>6.3485063515778511E-2</c:v>
                </c:pt>
                <c:pt idx="249">
                  <c:v>0.10119839309083825</c:v>
                </c:pt>
                <c:pt idx="250">
                  <c:v>0.12976080119386213</c:v>
                </c:pt>
                <c:pt idx="252">
                  <c:v>1.8666099068604336E-2</c:v>
                </c:pt>
                <c:pt idx="253">
                  <c:v>0.15534501166567322</c:v>
                </c:pt>
                <c:pt idx="254">
                  <c:v>0.21735788206135748</c:v>
                </c:pt>
                <c:pt idx="255">
                  <c:v>6.4456322228897023E-2</c:v>
                </c:pt>
                <c:pt idx="256">
                  <c:v>3.7114573200766166E-2</c:v>
                </c:pt>
                <c:pt idx="257">
                  <c:v>2.5361944592346641E-2</c:v>
                </c:pt>
                <c:pt idx="258">
                  <c:v>4.2981666428624998E-2</c:v>
                </c:pt>
                <c:pt idx="259">
                  <c:v>8.7858330106031224E-3</c:v>
                </c:pt>
                <c:pt idx="260">
                  <c:v>-0.73375807489700895</c:v>
                </c:pt>
                <c:pt idx="261">
                  <c:v>7.0660589258309953E-2</c:v>
                </c:pt>
                <c:pt idx="262">
                  <c:v>5.8914604074609994E-2</c:v>
                </c:pt>
                <c:pt idx="263">
                  <c:v>-7.4154355446212628E-3</c:v>
                </c:pt>
                <c:pt idx="264">
                  <c:v>5.6092752362237777E-2</c:v>
                </c:pt>
                <c:pt idx="265">
                  <c:v>-5.1323158111990591E-2</c:v>
                </c:pt>
                <c:pt idx="266">
                  <c:v>5.0432076297534184E-2</c:v>
                </c:pt>
                <c:pt idx="267">
                  <c:v>9.0912282591100041E-3</c:v>
                </c:pt>
                <c:pt idx="268">
                  <c:v>0.10242087797109248</c:v>
                </c:pt>
                <c:pt idx="269">
                  <c:v>3.7618238480549862E-2</c:v>
                </c:pt>
                <c:pt idx="270">
                  <c:v>-0.13269344007236361</c:v>
                </c:pt>
                <c:pt idx="271">
                  <c:v>0.10824245109165269</c:v>
                </c:pt>
                <c:pt idx="272">
                  <c:v>5.2598683010296604E-2</c:v>
                </c:pt>
                <c:pt idx="273">
                  <c:v>0</c:v>
                </c:pt>
                <c:pt idx="274">
                  <c:v>1.9422575144371887E-2</c:v>
                </c:pt>
                <c:pt idx="275">
                  <c:v>-9.3144198567850667E-2</c:v>
                </c:pt>
                <c:pt idx="276">
                  <c:v>2.9792382034088183E-2</c:v>
                </c:pt>
                <c:pt idx="277">
                  <c:v>4.119775136374966E-2</c:v>
                </c:pt>
                <c:pt idx="278">
                  <c:v>5.3726781652488592E-2</c:v>
                </c:pt>
                <c:pt idx="279">
                  <c:v>1.9460337916606729E-2</c:v>
                </c:pt>
                <c:pt idx="280">
                  <c:v>1.6717841910734957E-2</c:v>
                </c:pt>
                <c:pt idx="281">
                  <c:v>1.6214844778280321E-2</c:v>
                </c:pt>
                <c:pt idx="282">
                  <c:v>-2.3285066384237385E-3</c:v>
                </c:pt>
                <c:pt idx="283">
                  <c:v>2.3815852696649403E-2</c:v>
                </c:pt>
                <c:pt idx="284">
                  <c:v>4.324973697845251E-2</c:v>
                </c:pt>
                <c:pt idx="285">
                  <c:v>4.8778087958248562E-2</c:v>
                </c:pt>
                <c:pt idx="288">
                  <c:v>6.6102595642374445E-2</c:v>
                </c:pt>
                <c:pt idx="289">
                  <c:v>2.8978175265522953E-2</c:v>
                </c:pt>
                <c:pt idx="290">
                  <c:v>4.8049480159126134E-2</c:v>
                </c:pt>
                <c:pt idx="291">
                  <c:v>3.8843310418130134E-2</c:v>
                </c:pt>
                <c:pt idx="292">
                  <c:v>2.1788296131225626E-2</c:v>
                </c:pt>
                <c:pt idx="294">
                  <c:v>7.8214502003867287E-3</c:v>
                </c:pt>
                <c:pt idx="295">
                  <c:v>8.8196916214585114E-2</c:v>
                </c:pt>
                <c:pt idx="296">
                  <c:v>2.6667856844683063E-2</c:v>
                </c:pt>
                <c:pt idx="297">
                  <c:v>0.11945834748982899</c:v>
                </c:pt>
                <c:pt idx="298">
                  <c:v>6.657661927221406E-3</c:v>
                </c:pt>
                <c:pt idx="299">
                  <c:v>-5.551112938361237E-2</c:v>
                </c:pt>
                <c:pt idx="300">
                  <c:v>4.3465237202506724E-2</c:v>
                </c:pt>
                <c:pt idx="301">
                  <c:v>1.7605806466378104E-2</c:v>
                </c:pt>
                <c:pt idx="302">
                  <c:v>-1.5197409129865433E-2</c:v>
                </c:pt>
                <c:pt idx="303">
                  <c:v>1.7010493109876013E-2</c:v>
                </c:pt>
                <c:pt idx="304">
                  <c:v>2.4852849973554469E-2</c:v>
                </c:pt>
                <c:pt idx="305">
                  <c:v>5.2348648466165493E-2</c:v>
                </c:pt>
                <c:pt idx="306">
                  <c:v>2.7538506061780127E-2</c:v>
                </c:pt>
                <c:pt idx="307">
                  <c:v>0</c:v>
                </c:pt>
                <c:pt idx="308">
                  <c:v>3.0828059858921092E-2</c:v>
                </c:pt>
                <c:pt idx="309">
                  <c:v>0.20700149933748413</c:v>
                </c:pt>
                <c:pt idx="310">
                  <c:v>-5.7147682618232665E-3</c:v>
                </c:pt>
                <c:pt idx="311">
                  <c:v>-5.8882505770456242E-2</c:v>
                </c:pt>
                <c:pt idx="312">
                  <c:v>2.6086563045203889E-2</c:v>
                </c:pt>
              </c:numCache>
            </c:numRef>
          </c:xVal>
          <c:yVal>
            <c:numRef>
              <c:f>Stocks!$L$6:$L$318</c:f>
              <c:numCache>
                <c:formatCode>0.00%</c:formatCode>
                <c:ptCount val="313"/>
                <c:pt idx="0">
                  <c:v>0.10476190476190461</c:v>
                </c:pt>
                <c:pt idx="1">
                  <c:v>2.3041474654378113E-2</c:v>
                </c:pt>
                <c:pt idx="2">
                  <c:v>4.9342105263157965E-2</c:v>
                </c:pt>
                <c:pt idx="3">
                  <c:v>0.74725274725274726</c:v>
                </c:pt>
                <c:pt idx="4">
                  <c:v>3.01111111111112E-2</c:v>
                </c:pt>
                <c:pt idx="5">
                  <c:v>8.7499999999999911E-2</c:v>
                </c:pt>
                <c:pt idx="6">
                  <c:v>6.3780487804877994E-2</c:v>
                </c:pt>
                <c:pt idx="7">
                  <c:v>1.8774559743850894E-2</c:v>
                </c:pt>
                <c:pt idx="8">
                  <c:v>0.64655172413793105</c:v>
                </c:pt>
                <c:pt idx="9">
                  <c:v>7.6335877862594437E-3</c:v>
                </c:pt>
                <c:pt idx="10">
                  <c:v>6.3829787234042534E-2</c:v>
                </c:pt>
                <c:pt idx="11">
                  <c:v>0.29281767955801086</c:v>
                </c:pt>
                <c:pt idx="12">
                  <c:v>0.16030534351145032</c:v>
                </c:pt>
                <c:pt idx="13">
                  <c:v>0.27803738317756999</c:v>
                </c:pt>
                <c:pt idx="14">
                  <c:v>0.51063829787234027</c:v>
                </c:pt>
                <c:pt idx="15">
                  <c:v>0.15044247787610621</c:v>
                </c:pt>
                <c:pt idx="16">
                  <c:v>0.19999999999999996</c:v>
                </c:pt>
                <c:pt idx="17">
                  <c:v>0.15025906735751304</c:v>
                </c:pt>
                <c:pt idx="18">
                  <c:v>0.16550522648083632</c:v>
                </c:pt>
                <c:pt idx="19">
                  <c:v>0.15835140997830788</c:v>
                </c:pt>
                <c:pt idx="20">
                  <c:v>0.37790697674418605</c:v>
                </c:pt>
                <c:pt idx="21">
                  <c:v>0.17380352644836261</c:v>
                </c:pt>
                <c:pt idx="22">
                  <c:v>0.14563758389261738</c:v>
                </c:pt>
                <c:pt idx="23">
                  <c:v>0.88888888888888884</c:v>
                </c:pt>
                <c:pt idx="24">
                  <c:v>0.26791866028708133</c:v>
                </c:pt>
                <c:pt idx="25">
                  <c:v>2.3923444976076791E-2</c:v>
                </c:pt>
                <c:pt idx="26">
                  <c:v>1.9148936170212627E-2</c:v>
                </c:pt>
                <c:pt idx="27">
                  <c:v>0.18090909090909091</c:v>
                </c:pt>
                <c:pt idx="28">
                  <c:v>0.1333333333333333</c:v>
                </c:pt>
                <c:pt idx="29">
                  <c:v>0.23762376237623761</c:v>
                </c:pt>
                <c:pt idx="30">
                  <c:v>0.42245989304812825</c:v>
                </c:pt>
                <c:pt idx="31">
                  <c:v>0.26818181818181808</c:v>
                </c:pt>
                <c:pt idx="32">
                  <c:v>0.22135416666666674</c:v>
                </c:pt>
                <c:pt idx="33">
                  <c:v>0.13654618473895574</c:v>
                </c:pt>
                <c:pt idx="34">
                  <c:v>0.26249999999999996</c:v>
                </c:pt>
                <c:pt idx="35">
                  <c:v>5.2173913043478404E-2</c:v>
                </c:pt>
                <c:pt idx="36">
                  <c:v>0.23031496062992129</c:v>
                </c:pt>
                <c:pt idx="37">
                  <c:v>2.5404157043879882E-2</c:v>
                </c:pt>
                <c:pt idx="38">
                  <c:v>0.60194174757281571</c:v>
                </c:pt>
                <c:pt idx="39">
                  <c:v>0.58723404255319145</c:v>
                </c:pt>
                <c:pt idx="40">
                  <c:v>0.25161073825503366</c:v>
                </c:pt>
                <c:pt idx="41">
                  <c:v>0.16891891891891886</c:v>
                </c:pt>
                <c:pt idx="42">
                  <c:v>9.8901098901098994E-2</c:v>
                </c:pt>
                <c:pt idx="43">
                  <c:v>2.6824324324324325</c:v>
                </c:pt>
                <c:pt idx="44">
                  <c:v>0.76470588235294135</c:v>
                </c:pt>
                <c:pt idx="45">
                  <c:v>1.3289036544850585E-2</c:v>
                </c:pt>
                <c:pt idx="46">
                  <c:v>1.0472103004291844</c:v>
                </c:pt>
                <c:pt idx="47">
                  <c:v>0.60919540229885039</c:v>
                </c:pt>
                <c:pt idx="48">
                  <c:v>0.16363636363636358</c:v>
                </c:pt>
                <c:pt idx="49">
                  <c:v>0.70434306569343064</c:v>
                </c:pt>
                <c:pt idx="50">
                  <c:v>1.1710526315789473</c:v>
                </c:pt>
                <c:pt idx="51">
                  <c:v>2.4691358024691468E-2</c:v>
                </c:pt>
                <c:pt idx="52">
                  <c:v>8.0873786407766985</c:v>
                </c:pt>
                <c:pt idx="53">
                  <c:v>9.3301435406698774E-2</c:v>
                </c:pt>
                <c:pt idx="54">
                  <c:v>0.38797814207650272</c:v>
                </c:pt>
                <c:pt idx="55">
                  <c:v>9.0163934426229719E-2</c:v>
                </c:pt>
                <c:pt idx="56">
                  <c:v>5.2837573385518422E-2</c:v>
                </c:pt>
                <c:pt idx="57">
                  <c:v>0.2222222222222221</c:v>
                </c:pt>
                <c:pt idx="58">
                  <c:v>1.754385964912264E-2</c:v>
                </c:pt>
                <c:pt idx="59">
                  <c:v>0</c:v>
                </c:pt>
                <c:pt idx="60">
                  <c:v>6.4628099173553721E-2</c:v>
                </c:pt>
                <c:pt idx="61">
                  <c:v>0.26400000000000001</c:v>
                </c:pt>
                <c:pt idx="62">
                  <c:v>0</c:v>
                </c:pt>
                <c:pt idx="63">
                  <c:v>0</c:v>
                </c:pt>
                <c:pt idx="64">
                  <c:v>0.41032608695652173</c:v>
                </c:pt>
                <c:pt idx="65">
                  <c:v>9.8265895953757232E-2</c:v>
                </c:pt>
                <c:pt idx="66">
                  <c:v>0.24657534246575352</c:v>
                </c:pt>
                <c:pt idx="67">
                  <c:v>0.58634538152610438</c:v>
                </c:pt>
                <c:pt idx="68">
                  <c:v>0.31525423728813551</c:v>
                </c:pt>
                <c:pt idx="69">
                  <c:v>0.88461538461538458</c:v>
                </c:pt>
                <c:pt idx="70">
                  <c:v>0.51785714285714257</c:v>
                </c:pt>
                <c:pt idx="71">
                  <c:v>1.7304964539007095</c:v>
                </c:pt>
                <c:pt idx="72">
                  <c:v>0.75428571428571423</c:v>
                </c:pt>
                <c:pt idx="73">
                  <c:v>11.380191693290735</c:v>
                </c:pt>
                <c:pt idx="74">
                  <c:v>1.3763157894736842</c:v>
                </c:pt>
                <c:pt idx="75">
                  <c:v>0.34928229665071764</c:v>
                </c:pt>
                <c:pt idx="76">
                  <c:v>0.13140604467805517</c:v>
                </c:pt>
                <c:pt idx="77">
                  <c:v>5.4545454545454675E-2</c:v>
                </c:pt>
                <c:pt idx="78">
                  <c:v>0.29875518672199153</c:v>
                </c:pt>
                <c:pt idx="79">
                  <c:v>0.17753623188405809</c:v>
                </c:pt>
                <c:pt idx="80">
                  <c:v>0.33377823408624208</c:v>
                </c:pt>
                <c:pt idx="81">
                  <c:v>0.65297450424929182</c:v>
                </c:pt>
                <c:pt idx="82">
                  <c:v>0.33725490196078445</c:v>
                </c:pt>
                <c:pt idx="83">
                  <c:v>0.3348623853211008</c:v>
                </c:pt>
                <c:pt idx="84">
                  <c:v>0.5095628415300546</c:v>
                </c:pt>
                <c:pt idx="85">
                  <c:v>1.5000000000000004</c:v>
                </c:pt>
                <c:pt idx="86">
                  <c:v>0.11111111111111116</c:v>
                </c:pt>
                <c:pt idx="87">
                  <c:v>1.5</c:v>
                </c:pt>
                <c:pt idx="88">
                  <c:v>0.66666666666666674</c:v>
                </c:pt>
                <c:pt idx="89">
                  <c:v>0.35511363636363624</c:v>
                </c:pt>
                <c:pt idx="90">
                  <c:v>0.14285714285714302</c:v>
                </c:pt>
                <c:pt idx="91">
                  <c:v>0.8333333333333337</c:v>
                </c:pt>
                <c:pt idx="92">
                  <c:v>0.14285714285714302</c:v>
                </c:pt>
                <c:pt idx="93">
                  <c:v>1.25</c:v>
                </c:pt>
                <c:pt idx="94">
                  <c:v>0.60000000000000009</c:v>
                </c:pt>
                <c:pt idx="95">
                  <c:v>0.90909090909090895</c:v>
                </c:pt>
                <c:pt idx="96">
                  <c:v>3.416666666666667</c:v>
                </c:pt>
                <c:pt idx="97">
                  <c:v>0.36363636363636354</c:v>
                </c:pt>
                <c:pt idx="98">
                  <c:v>1.6521739130434785</c:v>
                </c:pt>
                <c:pt idx="99">
                  <c:v>0.47368421052631571</c:v>
                </c:pt>
                <c:pt idx="100">
                  <c:v>0.25925925925925908</c:v>
                </c:pt>
                <c:pt idx="101">
                  <c:v>4.1640340218712026</c:v>
                </c:pt>
                <c:pt idx="102">
                  <c:v>1.8888888888888888</c:v>
                </c:pt>
                <c:pt idx="103">
                  <c:v>1.6175438596491225</c:v>
                </c:pt>
                <c:pt idx="104">
                  <c:v>0.18561872909698995</c:v>
                </c:pt>
                <c:pt idx="105">
                  <c:v>0.26434782608695651</c:v>
                </c:pt>
                <c:pt idx="106">
                  <c:v>0.78571428571428603</c:v>
                </c:pt>
                <c:pt idx="107">
                  <c:v>1.6875</c:v>
                </c:pt>
                <c:pt idx="108">
                  <c:v>0.41666666666666674</c:v>
                </c:pt>
                <c:pt idx="109">
                  <c:v>1.3611111111111112</c:v>
                </c:pt>
                <c:pt idx="110">
                  <c:v>1.3834586466165413</c:v>
                </c:pt>
                <c:pt idx="111">
                  <c:v>0.34545454545454546</c:v>
                </c:pt>
                <c:pt idx="112">
                  <c:v>0.28779342723004686</c:v>
                </c:pt>
                <c:pt idx="113">
                  <c:v>0.17064516129032259</c:v>
                </c:pt>
                <c:pt idx="114">
                  <c:v>0.41564705882352948</c:v>
                </c:pt>
                <c:pt idx="115">
                  <c:v>0.35999999999999988</c:v>
                </c:pt>
                <c:pt idx="116">
                  <c:v>0.42004773269689721</c:v>
                </c:pt>
                <c:pt idx="117">
                  <c:v>0.52173913043478271</c:v>
                </c:pt>
                <c:pt idx="118">
                  <c:v>0.18518518518518512</c:v>
                </c:pt>
                <c:pt idx="119">
                  <c:v>0.12426035502958577</c:v>
                </c:pt>
                <c:pt idx="120">
                  <c:v>0.77499999999999991</c:v>
                </c:pt>
                <c:pt idx="121">
                  <c:v>0.17647058823529416</c:v>
                </c:pt>
                <c:pt idx="122">
                  <c:v>0.28571428571428559</c:v>
                </c:pt>
                <c:pt idx="123">
                  <c:v>1</c:v>
                </c:pt>
                <c:pt idx="124">
                  <c:v>1.1363636363636362</c:v>
                </c:pt>
                <c:pt idx="125">
                  <c:v>0.36956521739130421</c:v>
                </c:pt>
                <c:pt idx="126">
                  <c:v>9.0579710144927494E-2</c:v>
                </c:pt>
                <c:pt idx="127">
                  <c:v>0.32743362831858414</c:v>
                </c:pt>
                <c:pt idx="128">
                  <c:v>1.9238329238329235</c:v>
                </c:pt>
                <c:pt idx="129">
                  <c:v>0.47058823529411753</c:v>
                </c:pt>
                <c:pt idx="130">
                  <c:v>0.44444444444444442</c:v>
                </c:pt>
                <c:pt idx="131">
                  <c:v>0.25839416058394149</c:v>
                </c:pt>
                <c:pt idx="132">
                  <c:v>0.40298507462686572</c:v>
                </c:pt>
                <c:pt idx="133">
                  <c:v>0.30097087378640786</c:v>
                </c:pt>
                <c:pt idx="134">
                  <c:v>0.10596026490066213</c:v>
                </c:pt>
                <c:pt idx="135">
                  <c:v>0.10270270270270276</c:v>
                </c:pt>
                <c:pt idx="136">
                  <c:v>0.1160714285714286</c:v>
                </c:pt>
                <c:pt idx="137">
                  <c:v>0.1734693877551019</c:v>
                </c:pt>
                <c:pt idx="138">
                  <c:v>2.2857142857142856</c:v>
                </c:pt>
                <c:pt idx="139">
                  <c:v>0.12337662337662336</c:v>
                </c:pt>
                <c:pt idx="140">
                  <c:v>0.21739130434782616</c:v>
                </c:pt>
                <c:pt idx="141">
                  <c:v>0.40697674418604657</c:v>
                </c:pt>
                <c:pt idx="142">
                  <c:v>0.12250000000000005</c:v>
                </c:pt>
                <c:pt idx="143">
                  <c:v>0.15294117647058836</c:v>
                </c:pt>
                <c:pt idx="144">
                  <c:v>7.5268817204301008E-2</c:v>
                </c:pt>
                <c:pt idx="145">
                  <c:v>0.12127272727272742</c:v>
                </c:pt>
                <c:pt idx="146">
                  <c:v>0.11999999999999988</c:v>
                </c:pt>
                <c:pt idx="147">
                  <c:v>0.31275720164609044</c:v>
                </c:pt>
                <c:pt idx="148">
                  <c:v>0.18333333333333335</c:v>
                </c:pt>
                <c:pt idx="149">
                  <c:v>0.21246458923512757</c:v>
                </c:pt>
                <c:pt idx="150">
                  <c:v>0.51291512915129145</c:v>
                </c:pt>
                <c:pt idx="151">
                  <c:v>13.815217391304348</c:v>
                </c:pt>
                <c:pt idx="152">
                  <c:v>0.46370967741935476</c:v>
                </c:pt>
                <c:pt idx="153">
                  <c:v>1.9753086419753041E-2</c:v>
                </c:pt>
                <c:pt idx="154">
                  <c:v>0</c:v>
                </c:pt>
                <c:pt idx="155">
                  <c:v>5.4545454545454453E-2</c:v>
                </c:pt>
                <c:pt idx="156">
                  <c:v>0.27483443708609268</c:v>
                </c:pt>
                <c:pt idx="157">
                  <c:v>0.1150442477876108</c:v>
                </c:pt>
                <c:pt idx="158">
                  <c:v>9.3023255813953654E-2</c:v>
                </c:pt>
                <c:pt idx="159">
                  <c:v>0.34545454545454546</c:v>
                </c:pt>
                <c:pt idx="160">
                  <c:v>0.48258706467661705</c:v>
                </c:pt>
                <c:pt idx="161">
                  <c:v>1.2318840579710146</c:v>
                </c:pt>
                <c:pt idx="162">
                  <c:v>0.14572864321608026</c:v>
                </c:pt>
                <c:pt idx="163">
                  <c:v>4.8780487804878092E-3</c:v>
                </c:pt>
                <c:pt idx="164">
                  <c:v>0</c:v>
                </c:pt>
                <c:pt idx="165">
                  <c:v>0.72321428571428559</c:v>
                </c:pt>
                <c:pt idx="166">
                  <c:v>1.0869565217391353E-2</c:v>
                </c:pt>
                <c:pt idx="167">
                  <c:v>2.1582733812949728E-2</c:v>
                </c:pt>
                <c:pt idx="168">
                  <c:v>1.1249999999999982E-2</c:v>
                </c:pt>
                <c:pt idx="169">
                  <c:v>0</c:v>
                </c:pt>
                <c:pt idx="170">
                  <c:v>0.17669172932330812</c:v>
                </c:pt>
                <c:pt idx="171">
                  <c:v>2</c:v>
                </c:pt>
                <c:pt idx="172">
                  <c:v>0.21072796934865901</c:v>
                </c:pt>
                <c:pt idx="173">
                  <c:v>0.55967450271247743</c:v>
                </c:pt>
                <c:pt idx="174">
                  <c:v>0.36931216931216926</c:v>
                </c:pt>
                <c:pt idx="175">
                  <c:v>0.76026634382566582</c:v>
                </c:pt>
                <c:pt idx="176">
                  <c:v>0.67571059431524549</c:v>
                </c:pt>
                <c:pt idx="177">
                  <c:v>2.6907563025210086</c:v>
                </c:pt>
                <c:pt idx="178">
                  <c:v>9.7625329815303363E-2</c:v>
                </c:pt>
                <c:pt idx="179">
                  <c:v>0.19024390243902456</c:v>
                </c:pt>
                <c:pt idx="180">
                  <c:v>0.66137566137566162</c:v>
                </c:pt>
                <c:pt idx="181">
                  <c:v>0.81777777777777771</c:v>
                </c:pt>
                <c:pt idx="182">
                  <c:v>0</c:v>
                </c:pt>
                <c:pt idx="183">
                  <c:v>0.1408839779005524</c:v>
                </c:pt>
                <c:pt idx="184">
                  <c:v>4.9019607843137081E-3</c:v>
                </c:pt>
                <c:pt idx="185">
                  <c:v>0.46415094339622653</c:v>
                </c:pt>
                <c:pt idx="186">
                  <c:v>0.2975000000000001</c:v>
                </c:pt>
                <c:pt idx="187">
                  <c:v>0.17153284671532831</c:v>
                </c:pt>
                <c:pt idx="188">
                  <c:v>1.3783783783783785</c:v>
                </c:pt>
                <c:pt idx="189">
                  <c:v>1.3661971830985919</c:v>
                </c:pt>
                <c:pt idx="190">
                  <c:v>3.125</c:v>
                </c:pt>
                <c:pt idx="191">
                  <c:v>1.1086956521739131</c:v>
                </c:pt>
                <c:pt idx="192">
                  <c:v>0</c:v>
                </c:pt>
                <c:pt idx="193">
                  <c:v>2.2833333333333332</c:v>
                </c:pt>
                <c:pt idx="194">
                  <c:v>0.66666666666666674</c:v>
                </c:pt>
                <c:pt idx="195">
                  <c:v>4.5555555555555554</c:v>
                </c:pt>
                <c:pt idx="196">
                  <c:v>0.14999999999999991</c:v>
                </c:pt>
                <c:pt idx="197">
                  <c:v>1.5384615384615388</c:v>
                </c:pt>
                <c:pt idx="198">
                  <c:v>1.8333333333333335</c:v>
                </c:pt>
                <c:pt idx="199">
                  <c:v>1.6315789473684212</c:v>
                </c:pt>
                <c:pt idx="200">
                  <c:v>0.53125</c:v>
                </c:pt>
                <c:pt idx="201">
                  <c:v>0.26301369863013702</c:v>
                </c:pt>
                <c:pt idx="202">
                  <c:v>0.97584541062801944</c:v>
                </c:pt>
                <c:pt idx="203">
                  <c:v>0.68981481481481466</c:v>
                </c:pt>
                <c:pt idx="204">
                  <c:v>0.63934426229508223</c:v>
                </c:pt>
                <c:pt idx="205">
                  <c:v>0.4137931034482758</c:v>
                </c:pt>
                <c:pt idx="206">
                  <c:v>0.82608695652173902</c:v>
                </c:pt>
                <c:pt idx="207">
                  <c:v>0.11127819548872186</c:v>
                </c:pt>
                <c:pt idx="208">
                  <c:v>1.1510791366906479</c:v>
                </c:pt>
                <c:pt idx="209">
                  <c:v>0.18500000000000005</c:v>
                </c:pt>
                <c:pt idx="210">
                  <c:v>15.111111111111111</c:v>
                </c:pt>
                <c:pt idx="211">
                  <c:v>8.6153846153846168</c:v>
                </c:pt>
                <c:pt idx="212">
                  <c:v>3.986522911051213</c:v>
                </c:pt>
                <c:pt idx="213">
                  <c:v>0.59375</c:v>
                </c:pt>
                <c:pt idx="214">
                  <c:v>4.4629629629629628</c:v>
                </c:pt>
                <c:pt idx="215">
                  <c:v>105.25</c:v>
                </c:pt>
                <c:pt idx="216">
                  <c:v>11.546558704453439</c:v>
                </c:pt>
                <c:pt idx="217">
                  <c:v>0.23595505617977519</c:v>
                </c:pt>
                <c:pt idx="218">
                  <c:v>0.679245283018868</c:v>
                </c:pt>
                <c:pt idx="219">
                  <c:v>0.15202797202797202</c:v>
                </c:pt>
                <c:pt idx="220">
                  <c:v>0.23123123123123102</c:v>
                </c:pt>
                <c:pt idx="221">
                  <c:v>0.5</c:v>
                </c:pt>
                <c:pt idx="222">
                  <c:v>3.4158878504672892</c:v>
                </c:pt>
                <c:pt idx="223">
                  <c:v>1.1862745098039214</c:v>
                </c:pt>
                <c:pt idx="224">
                  <c:v>1.3160919540229887</c:v>
                </c:pt>
                <c:pt idx="225">
                  <c:v>0.89922480620155043</c:v>
                </c:pt>
                <c:pt idx="226">
                  <c:v>1.7631578947368425</c:v>
                </c:pt>
                <c:pt idx="227">
                  <c:v>4.7002881844380404</c:v>
                </c:pt>
                <c:pt idx="228">
                  <c:v>0.49769585253456228</c:v>
                </c:pt>
                <c:pt idx="229">
                  <c:v>0.72</c:v>
                </c:pt>
                <c:pt idx="230">
                  <c:v>0.68831168831168821</c:v>
                </c:pt>
                <c:pt idx="231">
                  <c:v>1.5978835978835981</c:v>
                </c:pt>
                <c:pt idx="232">
                  <c:v>3.7222222222222223</c:v>
                </c:pt>
                <c:pt idx="233">
                  <c:v>0.9576719576719579</c:v>
                </c:pt>
                <c:pt idx="234">
                  <c:v>0.4049586776859504</c:v>
                </c:pt>
                <c:pt idx="235">
                  <c:v>0.97169811320754684</c:v>
                </c:pt>
                <c:pt idx="236">
                  <c:v>0.91089108910891081</c:v>
                </c:pt>
                <c:pt idx="237">
                  <c:v>6.584269662921348</c:v>
                </c:pt>
                <c:pt idx="238">
                  <c:v>1.6774193548387095</c:v>
                </c:pt>
                <c:pt idx="239">
                  <c:v>1.5347222222222223</c:v>
                </c:pt>
                <c:pt idx="240">
                  <c:v>0.68217054263565879</c:v>
                </c:pt>
                <c:pt idx="241">
                  <c:v>1.0112359550561796</c:v>
                </c:pt>
                <c:pt idx="242">
                  <c:v>1.5906735751295336</c:v>
                </c:pt>
                <c:pt idx="243">
                  <c:v>7.7601078167115904</c:v>
                </c:pt>
                <c:pt idx="244">
                  <c:v>2.1962616822429903</c:v>
                </c:pt>
                <c:pt idx="245">
                  <c:v>0.77894736842105261</c:v>
                </c:pt>
                <c:pt idx="246">
                  <c:v>11.980952380952381</c:v>
                </c:pt>
                <c:pt idx="247">
                  <c:v>0.393877551020408</c:v>
                </c:pt>
                <c:pt idx="248">
                  <c:v>1.9636363636363634</c:v>
                </c:pt>
                <c:pt idx="249">
                  <c:v>1.4308943089430897</c:v>
                </c:pt>
                <c:pt idx="250">
                  <c:v>5.8775510204081636</c:v>
                </c:pt>
                <c:pt idx="251">
                  <c:v>8.3117408906882595</c:v>
                </c:pt>
                <c:pt idx="252">
                  <c:v>5.6412213740458004</c:v>
                </c:pt>
                <c:pt idx="253">
                  <c:v>4.522388059701492</c:v>
                </c:pt>
                <c:pt idx="254">
                  <c:v>3.0437158469945356</c:v>
                </c:pt>
                <c:pt idx="255">
                  <c:v>0.43611111111111112</c:v>
                </c:pt>
                <c:pt idx="256">
                  <c:v>2.2653061224489797</c:v>
                </c:pt>
                <c:pt idx="257">
                  <c:v>0.16630669546436305</c:v>
                </c:pt>
                <c:pt idx="258">
                  <c:v>1.158311345646438</c:v>
                </c:pt>
                <c:pt idx="259">
                  <c:v>3.8675373134328357</c:v>
                </c:pt>
                <c:pt idx="260">
                  <c:v>0.96722408026755824</c:v>
                </c:pt>
                <c:pt idx="261">
                  <c:v>4.8391959798994968</c:v>
                </c:pt>
                <c:pt idx="262">
                  <c:v>0.41295546558704443</c:v>
                </c:pt>
                <c:pt idx="263">
                  <c:v>1.2592592592592591</c:v>
                </c:pt>
                <c:pt idx="264">
                  <c:v>3.9610389610389607</c:v>
                </c:pt>
                <c:pt idx="265">
                  <c:v>3.179347826086957</c:v>
                </c:pt>
                <c:pt idx="266">
                  <c:v>1535.9230769230771</c:v>
                </c:pt>
                <c:pt idx="267">
                  <c:v>2.2083333333333335</c:v>
                </c:pt>
                <c:pt idx="268">
                  <c:v>4.957243816254417</c:v>
                </c:pt>
                <c:pt idx="269">
                  <c:v>1.8192771084337349</c:v>
                </c:pt>
                <c:pt idx="270">
                  <c:v>1.2967032967032965</c:v>
                </c:pt>
                <c:pt idx="271">
                  <c:v>0.5490196078431373</c:v>
                </c:pt>
                <c:pt idx="272">
                  <c:v>1.552204176334107</c:v>
                </c:pt>
                <c:pt idx="273">
                  <c:v>2.1554054054054053</c:v>
                </c:pt>
                <c:pt idx="274">
                  <c:v>0.85813953488372108</c:v>
                </c:pt>
                <c:pt idx="275">
                  <c:v>1.7540983606557377</c:v>
                </c:pt>
                <c:pt idx="276">
                  <c:v>1.2021276595744679</c:v>
                </c:pt>
                <c:pt idx="277">
                  <c:v>1.7307692307692304</c:v>
                </c:pt>
                <c:pt idx="278">
                  <c:v>1.2576112412177989</c:v>
                </c:pt>
                <c:pt idx="279">
                  <c:v>3.1847133757961785</c:v>
                </c:pt>
                <c:pt idx="280">
                  <c:v>1.9661016949152543</c:v>
                </c:pt>
                <c:pt idx="281">
                  <c:v>10.627118644067798</c:v>
                </c:pt>
                <c:pt idx="282">
                  <c:v>1.8767123287671232</c:v>
                </c:pt>
                <c:pt idx="283">
                  <c:v>1.5906735751295336</c:v>
                </c:pt>
                <c:pt idx="284">
                  <c:v>26.051724137931036</c:v>
                </c:pt>
                <c:pt idx="285">
                  <c:v>57.817460317460316</c:v>
                </c:pt>
                <c:pt idx="286">
                  <c:v>5.4189189189189184</c:v>
                </c:pt>
                <c:pt idx="287">
                  <c:v>0.94945848375451281</c:v>
                </c:pt>
                <c:pt idx="288">
                  <c:v>11.773722627737225</c:v>
                </c:pt>
                <c:pt idx="289">
                  <c:v>0.35463258785942497</c:v>
                </c:pt>
                <c:pt idx="290">
                  <c:v>2.9740740740740739</c:v>
                </c:pt>
                <c:pt idx="291">
                  <c:v>39.361990950226243</c:v>
                </c:pt>
                <c:pt idx="292">
                  <c:v>0.95945945945945943</c:v>
                </c:pt>
                <c:pt idx="293">
                  <c:v>2.0627450980392159</c:v>
                </c:pt>
                <c:pt idx="294">
                  <c:v>1.1494252873563218</c:v>
                </c:pt>
                <c:pt idx="295">
                  <c:v>2.5542168674698797</c:v>
                </c:pt>
                <c:pt idx="296">
                  <c:v>3.9459459459459465</c:v>
                </c:pt>
                <c:pt idx="297">
                  <c:v>23.363636363636363</c:v>
                </c:pt>
                <c:pt idx="298">
                  <c:v>3.7767857142857135</c:v>
                </c:pt>
                <c:pt idx="299">
                  <c:v>26.897435897435898</c:v>
                </c:pt>
                <c:pt idx="300">
                  <c:v>4.2175438596491226</c:v>
                </c:pt>
                <c:pt idx="301">
                  <c:v>3.1516245487364625</c:v>
                </c:pt>
                <c:pt idx="302">
                  <c:v>1.943548387096774</c:v>
                </c:pt>
                <c:pt idx="303">
                  <c:v>2.2531400966183579</c:v>
                </c:pt>
                <c:pt idx="304">
                  <c:v>13.798850574712645</c:v>
                </c:pt>
                <c:pt idx="305">
                  <c:v>5.7407407407407405</c:v>
                </c:pt>
                <c:pt idx="306">
                  <c:v>0.5</c:v>
                </c:pt>
                <c:pt idx="307">
                  <c:v>177.1081081081081</c:v>
                </c:pt>
                <c:pt idx="308">
                  <c:v>10.212121212121211</c:v>
                </c:pt>
                <c:pt idx="309">
                  <c:v>0.33720930232558155</c:v>
                </c:pt>
                <c:pt idx="310">
                  <c:v>3.894327030033371</c:v>
                </c:pt>
                <c:pt idx="311">
                  <c:v>0.46627565982404717</c:v>
                </c:pt>
                <c:pt idx="312">
                  <c:v>186.64705882352942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C1-4B09-A4A7-5AA981489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623999"/>
        <c:axId val="1744647295"/>
      </c:scatterChart>
      <c:valAx>
        <c:axId val="1744623999"/>
        <c:scaling>
          <c:orientation val="minMax"/>
          <c:min val="-0.4"/>
        </c:scaling>
        <c:delete val="0"/>
        <c:axPos val="b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strike="noStrike" baseline="0"/>
                  <a:t>Nomalized Delta(AvgATR(14), 50), ATR(14))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0429909265971322"/>
              <c:y val="0.91762158797583593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108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47295"/>
        <c:crosses val="autoZero"/>
        <c:crossBetween val="midCat"/>
      </c:valAx>
      <c:valAx>
        <c:axId val="17446472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%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2399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Peak % vs Shares Outstanding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Peak%VSharesOS</c:v>
          </c:tx>
          <c:spPr>
            <a:ln w="25400" cap="rnd">
              <a:noFill/>
              <a:prstDash val="solid"/>
            </a:ln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0"/>
                  <c:y val="0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Stocks!$O$6:$O$318</c:f>
              <c:numCache>
                <c:formatCode>#,##0</c:formatCode>
                <c:ptCount val="313"/>
                <c:pt idx="0">
                  <c:v>21975778</c:v>
                </c:pt>
                <c:pt idx="1">
                  <c:v>6690311</c:v>
                </c:pt>
                <c:pt idx="2">
                  <c:v>14983761</c:v>
                </c:pt>
                <c:pt idx="3">
                  <c:v>67671997</c:v>
                </c:pt>
                <c:pt idx="4">
                  <c:v>64503642</c:v>
                </c:pt>
                <c:pt idx="5">
                  <c:v>11340476</c:v>
                </c:pt>
                <c:pt idx="6">
                  <c:v>51362500</c:v>
                </c:pt>
                <c:pt idx="7">
                  <c:v>53417200</c:v>
                </c:pt>
                <c:pt idx="8">
                  <c:v>11960505</c:v>
                </c:pt>
                <c:pt idx="9">
                  <c:v>35134564</c:v>
                </c:pt>
                <c:pt idx="10">
                  <c:v>35843902</c:v>
                </c:pt>
                <c:pt idx="11">
                  <c:v>505055</c:v>
                </c:pt>
                <c:pt idx="12">
                  <c:v>17591773</c:v>
                </c:pt>
                <c:pt idx="13">
                  <c:v>11505000</c:v>
                </c:pt>
                <c:pt idx="14">
                  <c:v>13829601</c:v>
                </c:pt>
                <c:pt idx="15">
                  <c:v>21127718</c:v>
                </c:pt>
                <c:pt idx="16">
                  <c:v>6818841030</c:v>
                </c:pt>
                <c:pt idx="17">
                  <c:v>135473947</c:v>
                </c:pt>
                <c:pt idx="18">
                  <c:v>8089457</c:v>
                </c:pt>
                <c:pt idx="19">
                  <c:v>20444712</c:v>
                </c:pt>
                <c:pt idx="20">
                  <c:v>7832939</c:v>
                </c:pt>
                <c:pt idx="21">
                  <c:v>4079391</c:v>
                </c:pt>
                <c:pt idx="22">
                  <c:v>38153690</c:v>
                </c:pt>
                <c:pt idx="23">
                  <c:v>2688214838</c:v>
                </c:pt>
                <c:pt idx="24">
                  <c:v>8726045</c:v>
                </c:pt>
                <c:pt idx="25">
                  <c:v>19168609</c:v>
                </c:pt>
                <c:pt idx="26">
                  <c:v>8688000</c:v>
                </c:pt>
                <c:pt idx="27">
                  <c:v>26861021</c:v>
                </c:pt>
                <c:pt idx="28">
                  <c:v>90068356</c:v>
                </c:pt>
                <c:pt idx="29">
                  <c:v>59083706</c:v>
                </c:pt>
                <c:pt idx="30">
                  <c:v>7114774</c:v>
                </c:pt>
                <c:pt idx="31">
                  <c:v>12226577</c:v>
                </c:pt>
                <c:pt idx="32">
                  <c:v>10493598</c:v>
                </c:pt>
                <c:pt idx="33">
                  <c:v>67550974</c:v>
                </c:pt>
                <c:pt idx="34">
                  <c:v>78575131</c:v>
                </c:pt>
                <c:pt idx="35">
                  <c:v>71531070</c:v>
                </c:pt>
                <c:pt idx="36">
                  <c:v>10021568</c:v>
                </c:pt>
                <c:pt idx="37">
                  <c:v>13402562</c:v>
                </c:pt>
                <c:pt idx="38">
                  <c:v>31652045</c:v>
                </c:pt>
                <c:pt idx="39">
                  <c:v>67424993</c:v>
                </c:pt>
                <c:pt idx="40">
                  <c:v>6920053</c:v>
                </c:pt>
                <c:pt idx="41">
                  <c:v>71662933</c:v>
                </c:pt>
                <c:pt idx="42">
                  <c:v>20000000</c:v>
                </c:pt>
                <c:pt idx="43">
                  <c:v>59192012</c:v>
                </c:pt>
                <c:pt idx="44" formatCode="General">
                  <c:v>6956116348</c:v>
                </c:pt>
                <c:pt idx="45">
                  <c:v>10133345</c:v>
                </c:pt>
                <c:pt idx="46">
                  <c:v>8093199</c:v>
                </c:pt>
                <c:pt idx="47">
                  <c:v>27554157</c:v>
                </c:pt>
                <c:pt idx="48">
                  <c:v>148886141</c:v>
                </c:pt>
                <c:pt idx="49">
                  <c:v>5018271</c:v>
                </c:pt>
                <c:pt idx="50">
                  <c:v>56185378</c:v>
                </c:pt>
                <c:pt idx="51">
                  <c:v>7820455</c:v>
                </c:pt>
                <c:pt idx="52">
                  <c:v>200565683</c:v>
                </c:pt>
                <c:pt idx="53">
                  <c:v>7302040</c:v>
                </c:pt>
                <c:pt idx="54">
                  <c:v>25120000</c:v>
                </c:pt>
                <c:pt idx="55">
                  <c:v>44425318</c:v>
                </c:pt>
                <c:pt idx="56">
                  <c:v>9534014</c:v>
                </c:pt>
                <c:pt idx="57">
                  <c:v>9798261</c:v>
                </c:pt>
                <c:pt idx="58">
                  <c:v>16357784</c:v>
                </c:pt>
                <c:pt idx="59">
                  <c:v>6333333</c:v>
                </c:pt>
                <c:pt idx="60">
                  <c:v>23149112</c:v>
                </c:pt>
                <c:pt idx="61">
                  <c:v>32037547</c:v>
                </c:pt>
                <c:pt idx="62">
                  <c:v>36843045</c:v>
                </c:pt>
                <c:pt idx="63">
                  <c:v>84096012</c:v>
                </c:pt>
                <c:pt idx="64">
                  <c:v>25000000</c:v>
                </c:pt>
                <c:pt idx="65">
                  <c:v>24426993</c:v>
                </c:pt>
                <c:pt idx="66">
                  <c:v>66755195</c:v>
                </c:pt>
                <c:pt idx="67">
                  <c:v>77730165</c:v>
                </c:pt>
                <c:pt idx="68">
                  <c:v>27988927</c:v>
                </c:pt>
                <c:pt idx="69">
                  <c:v>49350077</c:v>
                </c:pt>
                <c:pt idx="70">
                  <c:v>25135000</c:v>
                </c:pt>
                <c:pt idx="71">
                  <c:v>4823408</c:v>
                </c:pt>
                <c:pt idx="72">
                  <c:v>2823410</c:v>
                </c:pt>
                <c:pt idx="73">
                  <c:v>3803195</c:v>
                </c:pt>
                <c:pt idx="74">
                  <c:v>8970162</c:v>
                </c:pt>
                <c:pt idx="75">
                  <c:v>25617807</c:v>
                </c:pt>
                <c:pt idx="76">
                  <c:v>15116503</c:v>
                </c:pt>
                <c:pt idx="77">
                  <c:v>20901703</c:v>
                </c:pt>
                <c:pt idx="78">
                  <c:v>39139502</c:v>
                </c:pt>
                <c:pt idx="79">
                  <c:v>29852950</c:v>
                </c:pt>
                <c:pt idx="80">
                  <c:v>501780240</c:v>
                </c:pt>
                <c:pt idx="81">
                  <c:v>42684678</c:v>
                </c:pt>
                <c:pt idx="82">
                  <c:v>7906476</c:v>
                </c:pt>
                <c:pt idx="83">
                  <c:v>9343671</c:v>
                </c:pt>
                <c:pt idx="84">
                  <c:v>198228533</c:v>
                </c:pt>
                <c:pt idx="85" formatCode="General">
                  <c:v>5752596220</c:v>
                </c:pt>
                <c:pt idx="86" formatCode="General">
                  <c:v>11982201325</c:v>
                </c:pt>
                <c:pt idx="87" formatCode="General">
                  <c:v>19042966799</c:v>
                </c:pt>
                <c:pt idx="88" formatCode="General">
                  <c:v>95719033</c:v>
                </c:pt>
                <c:pt idx="89">
                  <c:v>42455515</c:v>
                </c:pt>
                <c:pt idx="90" formatCode="General">
                  <c:v>4584705385</c:v>
                </c:pt>
                <c:pt idx="91" formatCode="General">
                  <c:v>6146636426</c:v>
                </c:pt>
                <c:pt idx="92" formatCode="General">
                  <c:v>8909020776</c:v>
                </c:pt>
                <c:pt idx="93" formatCode="General">
                  <c:v>9974145740</c:v>
                </c:pt>
                <c:pt idx="94" formatCode="General">
                  <c:v>6057804223</c:v>
                </c:pt>
                <c:pt idx="95" formatCode="General">
                  <c:v>3225452745</c:v>
                </c:pt>
                <c:pt idx="96" formatCode="General">
                  <c:v>4107559703</c:v>
                </c:pt>
                <c:pt idx="97" formatCode="General">
                  <c:v>3159275316</c:v>
                </c:pt>
                <c:pt idx="98" formatCode="General">
                  <c:v>3453679078</c:v>
                </c:pt>
                <c:pt idx="99" formatCode="General">
                  <c:v>7510223621</c:v>
                </c:pt>
                <c:pt idx="100" formatCode="General">
                  <c:v>1903792512</c:v>
                </c:pt>
                <c:pt idx="101">
                  <c:v>3062850</c:v>
                </c:pt>
                <c:pt idx="102">
                  <c:v>9175288</c:v>
                </c:pt>
                <c:pt idx="103">
                  <c:v>33889975</c:v>
                </c:pt>
                <c:pt idx="104">
                  <c:v>14245764</c:v>
                </c:pt>
                <c:pt idx="105">
                  <c:v>54025000</c:v>
                </c:pt>
                <c:pt idx="106" formatCode="General">
                  <c:v>1231089842</c:v>
                </c:pt>
                <c:pt idx="107" formatCode="General">
                  <c:v>4471952469</c:v>
                </c:pt>
                <c:pt idx="108" formatCode="General">
                  <c:v>2923577926</c:v>
                </c:pt>
                <c:pt idx="109" formatCode="General">
                  <c:v>1499996657</c:v>
                </c:pt>
                <c:pt idx="110">
                  <c:v>3381823</c:v>
                </c:pt>
                <c:pt idx="111">
                  <c:v>13465871</c:v>
                </c:pt>
                <c:pt idx="112">
                  <c:v>30851776</c:v>
                </c:pt>
                <c:pt idx="113">
                  <c:v>33315316</c:v>
                </c:pt>
                <c:pt idx="114">
                  <c:v>14557435</c:v>
                </c:pt>
                <c:pt idx="115" formatCode="General">
                  <c:v>5060155892</c:v>
                </c:pt>
                <c:pt idx="116">
                  <c:v>9506419</c:v>
                </c:pt>
                <c:pt idx="117">
                  <c:v>12563989</c:v>
                </c:pt>
                <c:pt idx="118">
                  <c:v>12184997</c:v>
                </c:pt>
                <c:pt idx="119">
                  <c:v>24426993</c:v>
                </c:pt>
                <c:pt idx="120">
                  <c:v>102835674</c:v>
                </c:pt>
                <c:pt idx="121" formatCode="General">
                  <c:v>5861691862</c:v>
                </c:pt>
                <c:pt idx="122" formatCode="General">
                  <c:v>8200722014</c:v>
                </c:pt>
                <c:pt idx="123" formatCode="General">
                  <c:v>3727158685</c:v>
                </c:pt>
                <c:pt idx="124" formatCode="General">
                  <c:v>7394999999</c:v>
                </c:pt>
                <c:pt idx="125">
                  <c:v>20384630</c:v>
                </c:pt>
                <c:pt idx="126">
                  <c:v>582734777</c:v>
                </c:pt>
                <c:pt idx="127" formatCode="General">
                  <c:v>649917054</c:v>
                </c:pt>
                <c:pt idx="128" formatCode="General">
                  <c:v>369462271</c:v>
                </c:pt>
                <c:pt idx="129" formatCode="General">
                  <c:v>264541664</c:v>
                </c:pt>
                <c:pt idx="130" formatCode="General">
                  <c:v>6146636426</c:v>
                </c:pt>
                <c:pt idx="131">
                  <c:v>113500455</c:v>
                </c:pt>
                <c:pt idx="132" formatCode="General">
                  <c:v>5752596220</c:v>
                </c:pt>
                <c:pt idx="133">
                  <c:v>11155569</c:v>
                </c:pt>
                <c:pt idx="134">
                  <c:v>104325637</c:v>
                </c:pt>
                <c:pt idx="135">
                  <c:v>139209554</c:v>
                </c:pt>
                <c:pt idx="136">
                  <c:v>14890094</c:v>
                </c:pt>
                <c:pt idx="137">
                  <c:v>12354040</c:v>
                </c:pt>
                <c:pt idx="138" formatCode="General">
                  <c:v>15314183</c:v>
                </c:pt>
                <c:pt idx="139">
                  <c:v>14867016</c:v>
                </c:pt>
                <c:pt idx="140">
                  <c:v>49487492</c:v>
                </c:pt>
                <c:pt idx="141">
                  <c:v>89531146</c:v>
                </c:pt>
                <c:pt idx="142">
                  <c:v>16655732</c:v>
                </c:pt>
                <c:pt idx="143">
                  <c:v>11507558</c:v>
                </c:pt>
                <c:pt idx="144">
                  <c:v>17486183</c:v>
                </c:pt>
                <c:pt idx="145">
                  <c:v>28348684</c:v>
                </c:pt>
                <c:pt idx="146">
                  <c:v>36273437</c:v>
                </c:pt>
                <c:pt idx="147">
                  <c:v>20869463</c:v>
                </c:pt>
                <c:pt idx="148">
                  <c:v>5414296</c:v>
                </c:pt>
                <c:pt idx="149">
                  <c:v>7820455</c:v>
                </c:pt>
                <c:pt idx="150">
                  <c:v>20914646</c:v>
                </c:pt>
                <c:pt idx="151">
                  <c:v>10967328</c:v>
                </c:pt>
                <c:pt idx="152">
                  <c:v>54949995</c:v>
                </c:pt>
                <c:pt idx="153">
                  <c:v>16559481</c:v>
                </c:pt>
                <c:pt idx="154">
                  <c:v>17820390</c:v>
                </c:pt>
                <c:pt idx="155">
                  <c:v>41751790</c:v>
                </c:pt>
                <c:pt idx="156">
                  <c:v>48912726</c:v>
                </c:pt>
                <c:pt idx="157">
                  <c:v>104325637</c:v>
                </c:pt>
                <c:pt idx="158">
                  <c:v>75937707</c:v>
                </c:pt>
                <c:pt idx="159">
                  <c:v>13465871</c:v>
                </c:pt>
                <c:pt idx="160">
                  <c:v>49487492</c:v>
                </c:pt>
                <c:pt idx="161">
                  <c:v>4823408</c:v>
                </c:pt>
                <c:pt idx="162">
                  <c:v>15514396</c:v>
                </c:pt>
                <c:pt idx="163">
                  <c:v>37948082</c:v>
                </c:pt>
                <c:pt idx="164">
                  <c:v>14410143</c:v>
                </c:pt>
                <c:pt idx="165">
                  <c:v>30541255</c:v>
                </c:pt>
                <c:pt idx="166">
                  <c:v>75640204</c:v>
                </c:pt>
                <c:pt idx="167">
                  <c:v>89531146</c:v>
                </c:pt>
                <c:pt idx="168">
                  <c:v>92817493</c:v>
                </c:pt>
                <c:pt idx="169">
                  <c:v>125033006</c:v>
                </c:pt>
                <c:pt idx="170">
                  <c:v>24426993</c:v>
                </c:pt>
                <c:pt idx="171">
                  <c:v>90356629</c:v>
                </c:pt>
                <c:pt idx="172">
                  <c:v>113908845</c:v>
                </c:pt>
                <c:pt idx="173">
                  <c:v>1545884</c:v>
                </c:pt>
                <c:pt idx="174">
                  <c:v>3061859</c:v>
                </c:pt>
                <c:pt idx="175">
                  <c:v>3214497</c:v>
                </c:pt>
                <c:pt idx="176">
                  <c:v>2823410</c:v>
                </c:pt>
                <c:pt idx="177">
                  <c:v>8516823</c:v>
                </c:pt>
                <c:pt idx="178">
                  <c:v>67424993</c:v>
                </c:pt>
                <c:pt idx="179">
                  <c:v>10021568</c:v>
                </c:pt>
                <c:pt idx="180">
                  <c:v>12184997</c:v>
                </c:pt>
                <c:pt idx="181">
                  <c:v>18085355</c:v>
                </c:pt>
                <c:pt idx="182">
                  <c:v>24631488</c:v>
                </c:pt>
                <c:pt idx="183">
                  <c:v>33000000</c:v>
                </c:pt>
                <c:pt idx="184">
                  <c:v>11960505</c:v>
                </c:pt>
                <c:pt idx="185">
                  <c:v>11637283</c:v>
                </c:pt>
                <c:pt idx="186">
                  <c:v>12000000</c:v>
                </c:pt>
                <c:pt idx="187">
                  <c:v>9923338</c:v>
                </c:pt>
                <c:pt idx="188" formatCode="General">
                  <c:v>9690963637</c:v>
                </c:pt>
                <c:pt idx="189" formatCode="General">
                  <c:v>1360881</c:v>
                </c:pt>
                <c:pt idx="190" formatCode="General">
                  <c:v>4254864715</c:v>
                </c:pt>
                <c:pt idx="191" formatCode="General">
                  <c:v>1903792512</c:v>
                </c:pt>
                <c:pt idx="192" formatCode="General">
                  <c:v>1107885</c:v>
                </c:pt>
                <c:pt idx="193" formatCode="General">
                  <c:v>1180525173</c:v>
                </c:pt>
                <c:pt idx="194" formatCode="General">
                  <c:v>1126502244</c:v>
                </c:pt>
                <c:pt idx="195" formatCode="General">
                  <c:v>521083502</c:v>
                </c:pt>
                <c:pt idx="196" formatCode="General">
                  <c:v>268865425</c:v>
                </c:pt>
                <c:pt idx="197" formatCode="General">
                  <c:v>1260180555</c:v>
                </c:pt>
                <c:pt idx="198" formatCode="General">
                  <c:v>2287563320</c:v>
                </c:pt>
                <c:pt idx="199" formatCode="General">
                  <c:v>4124247703</c:v>
                </c:pt>
                <c:pt idx="200">
                  <c:v>16357784</c:v>
                </c:pt>
                <c:pt idx="201">
                  <c:v>9864068</c:v>
                </c:pt>
                <c:pt idx="202">
                  <c:v>18085355</c:v>
                </c:pt>
                <c:pt idx="203">
                  <c:v>37948082</c:v>
                </c:pt>
                <c:pt idx="204">
                  <c:v>21390290</c:v>
                </c:pt>
                <c:pt idx="205">
                  <c:v>32037547</c:v>
                </c:pt>
                <c:pt idx="206">
                  <c:v>27191830</c:v>
                </c:pt>
                <c:pt idx="207">
                  <c:v>28833059</c:v>
                </c:pt>
                <c:pt idx="208">
                  <c:v>36058816</c:v>
                </c:pt>
                <c:pt idx="209">
                  <c:v>42874097</c:v>
                </c:pt>
                <c:pt idx="210">
                  <c:v>96098647</c:v>
                </c:pt>
                <c:pt idx="211" formatCode="General">
                  <c:v>4205708462</c:v>
                </c:pt>
                <c:pt idx="212">
                  <c:v>31283364</c:v>
                </c:pt>
                <c:pt idx="213">
                  <c:v>88432227</c:v>
                </c:pt>
                <c:pt idx="214" formatCode="General">
                  <c:v>1865304388</c:v>
                </c:pt>
                <c:pt idx="215" formatCode="General">
                  <c:v>299569984</c:v>
                </c:pt>
                <c:pt idx="216">
                  <c:v>5131934</c:v>
                </c:pt>
                <c:pt idx="217">
                  <c:v>17486183</c:v>
                </c:pt>
                <c:pt idx="218">
                  <c:v>11911784</c:v>
                </c:pt>
                <c:pt idx="219">
                  <c:v>3040123</c:v>
                </c:pt>
                <c:pt idx="220">
                  <c:v>14890094</c:v>
                </c:pt>
                <c:pt idx="221">
                  <c:v>25764207</c:v>
                </c:pt>
                <c:pt idx="222">
                  <c:v>24105111</c:v>
                </c:pt>
                <c:pt idx="223">
                  <c:v>25359059</c:v>
                </c:pt>
                <c:pt idx="224">
                  <c:v>28348684</c:v>
                </c:pt>
                <c:pt idx="225">
                  <c:v>37948413</c:v>
                </c:pt>
                <c:pt idx="226">
                  <c:v>36843045</c:v>
                </c:pt>
                <c:pt idx="227">
                  <c:v>19168609</c:v>
                </c:pt>
                <c:pt idx="228">
                  <c:v>16811513</c:v>
                </c:pt>
                <c:pt idx="229">
                  <c:v>55616643</c:v>
                </c:pt>
                <c:pt idx="230">
                  <c:v>18329600</c:v>
                </c:pt>
                <c:pt idx="231">
                  <c:v>6333333</c:v>
                </c:pt>
                <c:pt idx="232">
                  <c:v>36273437</c:v>
                </c:pt>
                <c:pt idx="233">
                  <c:v>14867016</c:v>
                </c:pt>
                <c:pt idx="234">
                  <c:v>16052617</c:v>
                </c:pt>
                <c:pt idx="235">
                  <c:v>18004904</c:v>
                </c:pt>
                <c:pt idx="236">
                  <c:v>30541255</c:v>
                </c:pt>
                <c:pt idx="237">
                  <c:v>39166528</c:v>
                </c:pt>
                <c:pt idx="238">
                  <c:v>47371482</c:v>
                </c:pt>
                <c:pt idx="239">
                  <c:v>50985760</c:v>
                </c:pt>
                <c:pt idx="240">
                  <c:v>113500455</c:v>
                </c:pt>
                <c:pt idx="241">
                  <c:v>2441960</c:v>
                </c:pt>
                <c:pt idx="242">
                  <c:v>5886750</c:v>
                </c:pt>
                <c:pt idx="243">
                  <c:v>7600306</c:v>
                </c:pt>
                <c:pt idx="244">
                  <c:v>21474138</c:v>
                </c:pt>
                <c:pt idx="245">
                  <c:v>25617807</c:v>
                </c:pt>
                <c:pt idx="246">
                  <c:v>10967328</c:v>
                </c:pt>
                <c:pt idx="247">
                  <c:v>21197290</c:v>
                </c:pt>
                <c:pt idx="248">
                  <c:v>43579557</c:v>
                </c:pt>
                <c:pt idx="249">
                  <c:v>36058816</c:v>
                </c:pt>
                <c:pt idx="250">
                  <c:v>90068356</c:v>
                </c:pt>
                <c:pt idx="251" formatCode="General">
                  <c:v>48000000</c:v>
                </c:pt>
                <c:pt idx="252">
                  <c:v>2437550</c:v>
                </c:pt>
                <c:pt idx="253">
                  <c:v>5414296</c:v>
                </c:pt>
                <c:pt idx="254">
                  <c:v>7906476</c:v>
                </c:pt>
                <c:pt idx="255">
                  <c:v>7820455</c:v>
                </c:pt>
                <c:pt idx="256">
                  <c:v>10029433</c:v>
                </c:pt>
                <c:pt idx="257">
                  <c:v>10591716</c:v>
                </c:pt>
                <c:pt idx="258">
                  <c:v>15027878</c:v>
                </c:pt>
                <c:pt idx="259">
                  <c:v>18032018</c:v>
                </c:pt>
                <c:pt idx="260">
                  <c:v>25170596</c:v>
                </c:pt>
                <c:pt idx="261">
                  <c:v>35916323</c:v>
                </c:pt>
                <c:pt idx="262">
                  <c:v>35419632</c:v>
                </c:pt>
                <c:pt idx="263">
                  <c:v>104325637</c:v>
                </c:pt>
                <c:pt idx="264">
                  <c:v>94285068</c:v>
                </c:pt>
                <c:pt idx="265">
                  <c:v>61939578</c:v>
                </c:pt>
                <c:pt idx="266" formatCode="General">
                  <c:v>1483888915</c:v>
                </c:pt>
                <c:pt idx="267">
                  <c:v>4823408</c:v>
                </c:pt>
                <c:pt idx="268">
                  <c:v>9534014</c:v>
                </c:pt>
                <c:pt idx="269">
                  <c:v>51362500</c:v>
                </c:pt>
                <c:pt idx="270">
                  <c:v>18004904</c:v>
                </c:pt>
                <c:pt idx="271">
                  <c:v>42874097</c:v>
                </c:pt>
                <c:pt idx="272">
                  <c:v>53417200</c:v>
                </c:pt>
                <c:pt idx="273">
                  <c:v>37976522</c:v>
                </c:pt>
                <c:pt idx="274">
                  <c:v>49774538</c:v>
                </c:pt>
                <c:pt idx="275">
                  <c:v>93584380</c:v>
                </c:pt>
                <c:pt idx="276">
                  <c:v>49487492</c:v>
                </c:pt>
                <c:pt idx="277">
                  <c:v>20869463</c:v>
                </c:pt>
                <c:pt idx="278">
                  <c:v>4079391</c:v>
                </c:pt>
                <c:pt idx="279">
                  <c:v>9646931</c:v>
                </c:pt>
                <c:pt idx="280">
                  <c:v>79461603</c:v>
                </c:pt>
                <c:pt idx="281">
                  <c:v>31414465</c:v>
                </c:pt>
                <c:pt idx="282">
                  <c:v>27191830</c:v>
                </c:pt>
                <c:pt idx="283">
                  <c:v>44560490</c:v>
                </c:pt>
                <c:pt idx="284">
                  <c:v>278849616</c:v>
                </c:pt>
                <c:pt idx="285">
                  <c:v>11662379</c:v>
                </c:pt>
                <c:pt idx="286" formatCode="General">
                  <c:v>2307029206</c:v>
                </c:pt>
                <c:pt idx="287">
                  <c:v>5018271</c:v>
                </c:pt>
                <c:pt idx="288">
                  <c:v>19524289</c:v>
                </c:pt>
                <c:pt idx="289">
                  <c:v>12366593</c:v>
                </c:pt>
                <c:pt idx="290">
                  <c:v>6595503</c:v>
                </c:pt>
                <c:pt idx="291">
                  <c:v>15110324</c:v>
                </c:pt>
                <c:pt idx="292">
                  <c:v>99049900</c:v>
                </c:pt>
                <c:pt idx="293">
                  <c:v>10989566</c:v>
                </c:pt>
                <c:pt idx="294">
                  <c:v>37310254</c:v>
                </c:pt>
                <c:pt idx="295">
                  <c:v>19998</c:v>
                </c:pt>
                <c:pt idx="296">
                  <c:v>25135000</c:v>
                </c:pt>
                <c:pt idx="297">
                  <c:v>67424993</c:v>
                </c:pt>
                <c:pt idx="298">
                  <c:v>45649590</c:v>
                </c:pt>
                <c:pt idx="299">
                  <c:v>158743061</c:v>
                </c:pt>
                <c:pt idx="300">
                  <c:v>5061177</c:v>
                </c:pt>
                <c:pt idx="301">
                  <c:v>35228048</c:v>
                </c:pt>
                <c:pt idx="302">
                  <c:v>37948082</c:v>
                </c:pt>
                <c:pt idx="303">
                  <c:v>6744736</c:v>
                </c:pt>
                <c:pt idx="304" formatCode="General">
                  <c:v>78612608</c:v>
                </c:pt>
                <c:pt idx="305" formatCode="General">
                  <c:v>369462271</c:v>
                </c:pt>
                <c:pt idx="306" formatCode="General">
                  <c:v>2601061314</c:v>
                </c:pt>
                <c:pt idx="307" formatCode="General">
                  <c:v>2249350562</c:v>
                </c:pt>
                <c:pt idx="308" formatCode="General">
                  <c:v>1669663988</c:v>
                </c:pt>
                <c:pt idx="309" formatCode="General">
                  <c:v>389422859</c:v>
                </c:pt>
                <c:pt idx="310" formatCode="General">
                  <c:v>1963573633</c:v>
                </c:pt>
                <c:pt idx="311" formatCode="General">
                  <c:v>879029038</c:v>
                </c:pt>
                <c:pt idx="312" formatCode="General">
                  <c:v>434226791</c:v>
                </c:pt>
              </c:numCache>
            </c:numRef>
          </c:xVal>
          <c:yVal>
            <c:numRef>
              <c:f>Stocks!$L$6:$L$318</c:f>
              <c:numCache>
                <c:formatCode>0.00%</c:formatCode>
                <c:ptCount val="313"/>
                <c:pt idx="0">
                  <c:v>0.10476190476190461</c:v>
                </c:pt>
                <c:pt idx="1">
                  <c:v>2.3041474654378113E-2</c:v>
                </c:pt>
                <c:pt idx="2">
                  <c:v>4.9342105263157965E-2</c:v>
                </c:pt>
                <c:pt idx="3">
                  <c:v>0.74725274725274726</c:v>
                </c:pt>
                <c:pt idx="4">
                  <c:v>3.01111111111112E-2</c:v>
                </c:pt>
                <c:pt idx="5">
                  <c:v>8.7499999999999911E-2</c:v>
                </c:pt>
                <c:pt idx="6">
                  <c:v>6.3780487804877994E-2</c:v>
                </c:pt>
                <c:pt idx="7">
                  <c:v>1.8774559743850894E-2</c:v>
                </c:pt>
                <c:pt idx="8">
                  <c:v>0.64655172413793105</c:v>
                </c:pt>
                <c:pt idx="9">
                  <c:v>7.6335877862594437E-3</c:v>
                </c:pt>
                <c:pt idx="10">
                  <c:v>6.3829787234042534E-2</c:v>
                </c:pt>
                <c:pt idx="11">
                  <c:v>0.29281767955801086</c:v>
                </c:pt>
                <c:pt idx="12">
                  <c:v>0.16030534351145032</c:v>
                </c:pt>
                <c:pt idx="13">
                  <c:v>0.27803738317756999</c:v>
                </c:pt>
                <c:pt idx="14">
                  <c:v>0.51063829787234027</c:v>
                </c:pt>
                <c:pt idx="15">
                  <c:v>0.15044247787610621</c:v>
                </c:pt>
                <c:pt idx="16">
                  <c:v>0.19999999999999996</c:v>
                </c:pt>
                <c:pt idx="17">
                  <c:v>0.15025906735751304</c:v>
                </c:pt>
                <c:pt idx="18">
                  <c:v>0.16550522648083632</c:v>
                </c:pt>
                <c:pt idx="19">
                  <c:v>0.15835140997830788</c:v>
                </c:pt>
                <c:pt idx="20">
                  <c:v>0.37790697674418605</c:v>
                </c:pt>
                <c:pt idx="21">
                  <c:v>0.17380352644836261</c:v>
                </c:pt>
                <c:pt idx="22">
                  <c:v>0.14563758389261738</c:v>
                </c:pt>
                <c:pt idx="23">
                  <c:v>0.88888888888888884</c:v>
                </c:pt>
                <c:pt idx="24">
                  <c:v>0.26791866028708133</c:v>
                </c:pt>
                <c:pt idx="25">
                  <c:v>2.3923444976076791E-2</c:v>
                </c:pt>
                <c:pt idx="26">
                  <c:v>1.9148936170212627E-2</c:v>
                </c:pt>
                <c:pt idx="27">
                  <c:v>0.18090909090909091</c:v>
                </c:pt>
                <c:pt idx="28">
                  <c:v>0.1333333333333333</c:v>
                </c:pt>
                <c:pt idx="29">
                  <c:v>0.23762376237623761</c:v>
                </c:pt>
                <c:pt idx="30">
                  <c:v>0.42245989304812825</c:v>
                </c:pt>
                <c:pt idx="31">
                  <c:v>0.26818181818181808</c:v>
                </c:pt>
                <c:pt idx="32">
                  <c:v>0.22135416666666674</c:v>
                </c:pt>
                <c:pt idx="33">
                  <c:v>0.13654618473895574</c:v>
                </c:pt>
                <c:pt idx="34">
                  <c:v>0.26249999999999996</c:v>
                </c:pt>
                <c:pt idx="35">
                  <c:v>5.2173913043478404E-2</c:v>
                </c:pt>
                <c:pt idx="36">
                  <c:v>0.23031496062992129</c:v>
                </c:pt>
                <c:pt idx="37">
                  <c:v>2.5404157043879882E-2</c:v>
                </c:pt>
                <c:pt idx="38">
                  <c:v>0.60194174757281571</c:v>
                </c:pt>
                <c:pt idx="39">
                  <c:v>0.58723404255319145</c:v>
                </c:pt>
                <c:pt idx="40">
                  <c:v>0.25161073825503366</c:v>
                </c:pt>
                <c:pt idx="41">
                  <c:v>0.16891891891891886</c:v>
                </c:pt>
                <c:pt idx="42">
                  <c:v>9.8901098901098994E-2</c:v>
                </c:pt>
                <c:pt idx="43">
                  <c:v>2.6824324324324325</c:v>
                </c:pt>
                <c:pt idx="44">
                  <c:v>0.76470588235294135</c:v>
                </c:pt>
                <c:pt idx="45">
                  <c:v>1.3289036544850585E-2</c:v>
                </c:pt>
                <c:pt idx="46">
                  <c:v>1.0472103004291844</c:v>
                </c:pt>
                <c:pt idx="47">
                  <c:v>0.60919540229885039</c:v>
                </c:pt>
                <c:pt idx="48">
                  <c:v>0.16363636363636358</c:v>
                </c:pt>
                <c:pt idx="49">
                  <c:v>0.70434306569343064</c:v>
                </c:pt>
                <c:pt idx="50">
                  <c:v>1.1710526315789473</c:v>
                </c:pt>
                <c:pt idx="51">
                  <c:v>2.4691358024691468E-2</c:v>
                </c:pt>
                <c:pt idx="52">
                  <c:v>8.0873786407766985</c:v>
                </c:pt>
                <c:pt idx="53">
                  <c:v>9.3301435406698774E-2</c:v>
                </c:pt>
                <c:pt idx="54">
                  <c:v>0.38797814207650272</c:v>
                </c:pt>
                <c:pt idx="55">
                  <c:v>9.0163934426229719E-2</c:v>
                </c:pt>
                <c:pt idx="56">
                  <c:v>5.2837573385518422E-2</c:v>
                </c:pt>
                <c:pt idx="57">
                  <c:v>0.2222222222222221</c:v>
                </c:pt>
                <c:pt idx="58">
                  <c:v>1.754385964912264E-2</c:v>
                </c:pt>
                <c:pt idx="59">
                  <c:v>0</c:v>
                </c:pt>
                <c:pt idx="60">
                  <c:v>6.4628099173553721E-2</c:v>
                </c:pt>
                <c:pt idx="61">
                  <c:v>0.26400000000000001</c:v>
                </c:pt>
                <c:pt idx="62">
                  <c:v>0</c:v>
                </c:pt>
                <c:pt idx="63">
                  <c:v>0</c:v>
                </c:pt>
                <c:pt idx="64">
                  <c:v>0.41032608695652173</c:v>
                </c:pt>
                <c:pt idx="65">
                  <c:v>9.8265895953757232E-2</c:v>
                </c:pt>
                <c:pt idx="66">
                  <c:v>0.24657534246575352</c:v>
                </c:pt>
                <c:pt idx="67">
                  <c:v>0.58634538152610438</c:v>
                </c:pt>
                <c:pt idx="68">
                  <c:v>0.31525423728813551</c:v>
                </c:pt>
                <c:pt idx="69">
                  <c:v>0.88461538461538458</c:v>
                </c:pt>
                <c:pt idx="70">
                  <c:v>0.51785714285714257</c:v>
                </c:pt>
                <c:pt idx="71">
                  <c:v>1.7304964539007095</c:v>
                </c:pt>
                <c:pt idx="72">
                  <c:v>0.75428571428571423</c:v>
                </c:pt>
                <c:pt idx="73">
                  <c:v>11.380191693290735</c:v>
                </c:pt>
                <c:pt idx="74">
                  <c:v>1.3763157894736842</c:v>
                </c:pt>
                <c:pt idx="75">
                  <c:v>0.34928229665071764</c:v>
                </c:pt>
                <c:pt idx="76">
                  <c:v>0.13140604467805517</c:v>
                </c:pt>
                <c:pt idx="77">
                  <c:v>5.4545454545454675E-2</c:v>
                </c:pt>
                <c:pt idx="78">
                  <c:v>0.29875518672199153</c:v>
                </c:pt>
                <c:pt idx="79">
                  <c:v>0.17753623188405809</c:v>
                </c:pt>
                <c:pt idx="80">
                  <c:v>0.33377823408624208</c:v>
                </c:pt>
                <c:pt idx="81">
                  <c:v>0.65297450424929182</c:v>
                </c:pt>
                <c:pt idx="82">
                  <c:v>0.33725490196078445</c:v>
                </c:pt>
                <c:pt idx="83">
                  <c:v>0.3348623853211008</c:v>
                </c:pt>
                <c:pt idx="84">
                  <c:v>0.5095628415300546</c:v>
                </c:pt>
                <c:pt idx="85">
                  <c:v>1.5000000000000004</c:v>
                </c:pt>
                <c:pt idx="86">
                  <c:v>0.11111111111111116</c:v>
                </c:pt>
                <c:pt idx="87">
                  <c:v>1.5</c:v>
                </c:pt>
                <c:pt idx="88">
                  <c:v>0.66666666666666674</c:v>
                </c:pt>
                <c:pt idx="89">
                  <c:v>0.35511363636363624</c:v>
                </c:pt>
                <c:pt idx="90">
                  <c:v>0.14285714285714302</c:v>
                </c:pt>
                <c:pt idx="91">
                  <c:v>0.8333333333333337</c:v>
                </c:pt>
                <c:pt idx="92">
                  <c:v>0.14285714285714302</c:v>
                </c:pt>
                <c:pt idx="93">
                  <c:v>1.25</c:v>
                </c:pt>
                <c:pt idx="94">
                  <c:v>0.60000000000000009</c:v>
                </c:pt>
                <c:pt idx="95">
                  <c:v>0.90909090909090895</c:v>
                </c:pt>
                <c:pt idx="96">
                  <c:v>3.416666666666667</c:v>
                </c:pt>
                <c:pt idx="97">
                  <c:v>0.36363636363636354</c:v>
                </c:pt>
                <c:pt idx="98">
                  <c:v>1.6521739130434785</c:v>
                </c:pt>
                <c:pt idx="99">
                  <c:v>0.47368421052631571</c:v>
                </c:pt>
                <c:pt idx="100">
                  <c:v>0.25925925925925908</c:v>
                </c:pt>
                <c:pt idx="101">
                  <c:v>4.1640340218712026</c:v>
                </c:pt>
                <c:pt idx="102">
                  <c:v>1.8888888888888888</c:v>
                </c:pt>
                <c:pt idx="103">
                  <c:v>1.6175438596491225</c:v>
                </c:pt>
                <c:pt idx="104">
                  <c:v>0.18561872909698995</c:v>
                </c:pt>
                <c:pt idx="105">
                  <c:v>0.26434782608695651</c:v>
                </c:pt>
                <c:pt idx="106">
                  <c:v>0.78571428571428603</c:v>
                </c:pt>
                <c:pt idx="107">
                  <c:v>1.6875</c:v>
                </c:pt>
                <c:pt idx="108">
                  <c:v>0.41666666666666674</c:v>
                </c:pt>
                <c:pt idx="109">
                  <c:v>1.3611111111111112</c:v>
                </c:pt>
                <c:pt idx="110">
                  <c:v>1.3834586466165413</c:v>
                </c:pt>
                <c:pt idx="111">
                  <c:v>0.34545454545454546</c:v>
                </c:pt>
                <c:pt idx="112">
                  <c:v>0.28779342723004686</c:v>
                </c:pt>
                <c:pt idx="113">
                  <c:v>0.17064516129032259</c:v>
                </c:pt>
                <c:pt idx="114">
                  <c:v>0.41564705882352948</c:v>
                </c:pt>
                <c:pt idx="115">
                  <c:v>0.35999999999999988</c:v>
                </c:pt>
                <c:pt idx="116">
                  <c:v>0.42004773269689721</c:v>
                </c:pt>
                <c:pt idx="117">
                  <c:v>0.52173913043478271</c:v>
                </c:pt>
                <c:pt idx="118">
                  <c:v>0.18518518518518512</c:v>
                </c:pt>
                <c:pt idx="119">
                  <c:v>0.12426035502958577</c:v>
                </c:pt>
                <c:pt idx="120">
                  <c:v>0.77499999999999991</c:v>
                </c:pt>
                <c:pt idx="121">
                  <c:v>0.17647058823529416</c:v>
                </c:pt>
                <c:pt idx="122">
                  <c:v>0.28571428571428559</c:v>
                </c:pt>
                <c:pt idx="123">
                  <c:v>1</c:v>
                </c:pt>
                <c:pt idx="124">
                  <c:v>1.1363636363636362</c:v>
                </c:pt>
                <c:pt idx="125">
                  <c:v>0.36956521739130421</c:v>
                </c:pt>
                <c:pt idx="126">
                  <c:v>9.0579710144927494E-2</c:v>
                </c:pt>
                <c:pt idx="127">
                  <c:v>0.32743362831858414</c:v>
                </c:pt>
                <c:pt idx="128">
                  <c:v>1.9238329238329235</c:v>
                </c:pt>
                <c:pt idx="129">
                  <c:v>0.47058823529411753</c:v>
                </c:pt>
                <c:pt idx="130">
                  <c:v>0.44444444444444442</c:v>
                </c:pt>
                <c:pt idx="131">
                  <c:v>0.25839416058394149</c:v>
                </c:pt>
                <c:pt idx="132">
                  <c:v>0.40298507462686572</c:v>
                </c:pt>
                <c:pt idx="133">
                  <c:v>0.30097087378640786</c:v>
                </c:pt>
                <c:pt idx="134">
                  <c:v>0.10596026490066213</c:v>
                </c:pt>
                <c:pt idx="135">
                  <c:v>0.10270270270270276</c:v>
                </c:pt>
                <c:pt idx="136">
                  <c:v>0.1160714285714286</c:v>
                </c:pt>
                <c:pt idx="137">
                  <c:v>0.1734693877551019</c:v>
                </c:pt>
                <c:pt idx="138">
                  <c:v>2.2857142857142856</c:v>
                </c:pt>
                <c:pt idx="139">
                  <c:v>0.12337662337662336</c:v>
                </c:pt>
                <c:pt idx="140">
                  <c:v>0.21739130434782616</c:v>
                </c:pt>
                <c:pt idx="141">
                  <c:v>0.40697674418604657</c:v>
                </c:pt>
                <c:pt idx="142">
                  <c:v>0.12250000000000005</c:v>
                </c:pt>
                <c:pt idx="143">
                  <c:v>0.15294117647058836</c:v>
                </c:pt>
                <c:pt idx="144">
                  <c:v>7.5268817204301008E-2</c:v>
                </c:pt>
                <c:pt idx="145">
                  <c:v>0.12127272727272742</c:v>
                </c:pt>
                <c:pt idx="146">
                  <c:v>0.11999999999999988</c:v>
                </c:pt>
                <c:pt idx="147">
                  <c:v>0.31275720164609044</c:v>
                </c:pt>
                <c:pt idx="148">
                  <c:v>0.18333333333333335</c:v>
                </c:pt>
                <c:pt idx="149">
                  <c:v>0.21246458923512757</c:v>
                </c:pt>
                <c:pt idx="150">
                  <c:v>0.51291512915129145</c:v>
                </c:pt>
                <c:pt idx="151">
                  <c:v>13.815217391304348</c:v>
                </c:pt>
                <c:pt idx="152">
                  <c:v>0.46370967741935476</c:v>
                </c:pt>
                <c:pt idx="153">
                  <c:v>1.9753086419753041E-2</c:v>
                </c:pt>
                <c:pt idx="154">
                  <c:v>0</c:v>
                </c:pt>
                <c:pt idx="155">
                  <c:v>5.4545454545454453E-2</c:v>
                </c:pt>
                <c:pt idx="156">
                  <c:v>0.27483443708609268</c:v>
                </c:pt>
                <c:pt idx="157">
                  <c:v>0.1150442477876108</c:v>
                </c:pt>
                <c:pt idx="158">
                  <c:v>9.3023255813953654E-2</c:v>
                </c:pt>
                <c:pt idx="159">
                  <c:v>0.34545454545454546</c:v>
                </c:pt>
                <c:pt idx="160">
                  <c:v>0.48258706467661705</c:v>
                </c:pt>
                <c:pt idx="161">
                  <c:v>1.2318840579710146</c:v>
                </c:pt>
                <c:pt idx="162">
                  <c:v>0.14572864321608026</c:v>
                </c:pt>
                <c:pt idx="163">
                  <c:v>4.8780487804878092E-3</c:v>
                </c:pt>
                <c:pt idx="164">
                  <c:v>0</c:v>
                </c:pt>
                <c:pt idx="165">
                  <c:v>0.72321428571428559</c:v>
                </c:pt>
                <c:pt idx="166">
                  <c:v>1.0869565217391353E-2</c:v>
                </c:pt>
                <c:pt idx="167">
                  <c:v>2.1582733812949728E-2</c:v>
                </c:pt>
                <c:pt idx="168">
                  <c:v>1.1249999999999982E-2</c:v>
                </c:pt>
                <c:pt idx="169">
                  <c:v>0</c:v>
                </c:pt>
                <c:pt idx="170">
                  <c:v>0.17669172932330812</c:v>
                </c:pt>
                <c:pt idx="171">
                  <c:v>2</c:v>
                </c:pt>
                <c:pt idx="172">
                  <c:v>0.21072796934865901</c:v>
                </c:pt>
                <c:pt idx="173">
                  <c:v>0.55967450271247743</c:v>
                </c:pt>
                <c:pt idx="174">
                  <c:v>0.36931216931216926</c:v>
                </c:pt>
                <c:pt idx="175">
                  <c:v>0.76026634382566582</c:v>
                </c:pt>
                <c:pt idx="176">
                  <c:v>0.67571059431524549</c:v>
                </c:pt>
                <c:pt idx="177">
                  <c:v>2.6907563025210086</c:v>
                </c:pt>
                <c:pt idx="178">
                  <c:v>9.7625329815303363E-2</c:v>
                </c:pt>
                <c:pt idx="179">
                  <c:v>0.19024390243902456</c:v>
                </c:pt>
                <c:pt idx="180">
                  <c:v>0.66137566137566162</c:v>
                </c:pt>
                <c:pt idx="181">
                  <c:v>0.81777777777777771</c:v>
                </c:pt>
                <c:pt idx="182">
                  <c:v>0</c:v>
                </c:pt>
                <c:pt idx="183">
                  <c:v>0.1408839779005524</c:v>
                </c:pt>
                <c:pt idx="184">
                  <c:v>4.9019607843137081E-3</c:v>
                </c:pt>
                <c:pt idx="185">
                  <c:v>0.46415094339622653</c:v>
                </c:pt>
                <c:pt idx="186">
                  <c:v>0.2975000000000001</c:v>
                </c:pt>
                <c:pt idx="187">
                  <c:v>0.17153284671532831</c:v>
                </c:pt>
                <c:pt idx="188">
                  <c:v>1.3783783783783785</c:v>
                </c:pt>
                <c:pt idx="189">
                  <c:v>1.3661971830985919</c:v>
                </c:pt>
                <c:pt idx="190">
                  <c:v>3.125</c:v>
                </c:pt>
                <c:pt idx="191">
                  <c:v>1.1086956521739131</c:v>
                </c:pt>
                <c:pt idx="192">
                  <c:v>0</c:v>
                </c:pt>
                <c:pt idx="193">
                  <c:v>2.2833333333333332</c:v>
                </c:pt>
                <c:pt idx="194">
                  <c:v>0.66666666666666674</c:v>
                </c:pt>
                <c:pt idx="195">
                  <c:v>4.5555555555555554</c:v>
                </c:pt>
                <c:pt idx="196">
                  <c:v>0.14999999999999991</c:v>
                </c:pt>
                <c:pt idx="197">
                  <c:v>1.5384615384615388</c:v>
                </c:pt>
                <c:pt idx="198">
                  <c:v>1.8333333333333335</c:v>
                </c:pt>
                <c:pt idx="199">
                  <c:v>1.6315789473684212</c:v>
                </c:pt>
                <c:pt idx="200">
                  <c:v>0.53125</c:v>
                </c:pt>
                <c:pt idx="201">
                  <c:v>0.26301369863013702</c:v>
                </c:pt>
                <c:pt idx="202">
                  <c:v>0.97584541062801944</c:v>
                </c:pt>
                <c:pt idx="203">
                  <c:v>0.68981481481481466</c:v>
                </c:pt>
                <c:pt idx="204">
                  <c:v>0.63934426229508223</c:v>
                </c:pt>
                <c:pt idx="205">
                  <c:v>0.4137931034482758</c:v>
                </c:pt>
                <c:pt idx="206">
                  <c:v>0.82608695652173902</c:v>
                </c:pt>
                <c:pt idx="207">
                  <c:v>0.11127819548872186</c:v>
                </c:pt>
                <c:pt idx="208">
                  <c:v>1.1510791366906479</c:v>
                </c:pt>
                <c:pt idx="209">
                  <c:v>0.18500000000000005</c:v>
                </c:pt>
                <c:pt idx="210">
                  <c:v>15.111111111111111</c:v>
                </c:pt>
                <c:pt idx="211">
                  <c:v>8.6153846153846168</c:v>
                </c:pt>
                <c:pt idx="212">
                  <c:v>3.986522911051213</c:v>
                </c:pt>
                <c:pt idx="213">
                  <c:v>0.59375</c:v>
                </c:pt>
                <c:pt idx="214">
                  <c:v>4.4629629629629628</c:v>
                </c:pt>
                <c:pt idx="215">
                  <c:v>105.25</c:v>
                </c:pt>
                <c:pt idx="216">
                  <c:v>11.546558704453439</c:v>
                </c:pt>
                <c:pt idx="217">
                  <c:v>0.23595505617977519</c:v>
                </c:pt>
                <c:pt idx="218">
                  <c:v>0.679245283018868</c:v>
                </c:pt>
                <c:pt idx="219">
                  <c:v>0.15202797202797202</c:v>
                </c:pt>
                <c:pt idx="220">
                  <c:v>0.23123123123123102</c:v>
                </c:pt>
                <c:pt idx="221">
                  <c:v>0.5</c:v>
                </c:pt>
                <c:pt idx="222">
                  <c:v>3.4158878504672892</c:v>
                </c:pt>
                <c:pt idx="223">
                  <c:v>1.1862745098039214</c:v>
                </c:pt>
                <c:pt idx="224">
                  <c:v>1.3160919540229887</c:v>
                </c:pt>
                <c:pt idx="225">
                  <c:v>0.89922480620155043</c:v>
                </c:pt>
                <c:pt idx="226">
                  <c:v>1.7631578947368425</c:v>
                </c:pt>
                <c:pt idx="227">
                  <c:v>4.7002881844380404</c:v>
                </c:pt>
                <c:pt idx="228">
                  <c:v>0.49769585253456228</c:v>
                </c:pt>
                <c:pt idx="229">
                  <c:v>0.72</c:v>
                </c:pt>
                <c:pt idx="230">
                  <c:v>0.68831168831168821</c:v>
                </c:pt>
                <c:pt idx="231">
                  <c:v>1.5978835978835981</c:v>
                </c:pt>
                <c:pt idx="232">
                  <c:v>3.7222222222222223</c:v>
                </c:pt>
                <c:pt idx="233">
                  <c:v>0.9576719576719579</c:v>
                </c:pt>
                <c:pt idx="234">
                  <c:v>0.4049586776859504</c:v>
                </c:pt>
                <c:pt idx="235">
                  <c:v>0.97169811320754684</c:v>
                </c:pt>
                <c:pt idx="236">
                  <c:v>0.91089108910891081</c:v>
                </c:pt>
                <c:pt idx="237">
                  <c:v>6.584269662921348</c:v>
                </c:pt>
                <c:pt idx="238">
                  <c:v>1.6774193548387095</c:v>
                </c:pt>
                <c:pt idx="239">
                  <c:v>1.5347222222222223</c:v>
                </c:pt>
                <c:pt idx="240">
                  <c:v>0.68217054263565879</c:v>
                </c:pt>
                <c:pt idx="241">
                  <c:v>1.0112359550561796</c:v>
                </c:pt>
                <c:pt idx="242">
                  <c:v>1.5906735751295336</c:v>
                </c:pt>
                <c:pt idx="243">
                  <c:v>7.7601078167115904</c:v>
                </c:pt>
                <c:pt idx="244">
                  <c:v>2.1962616822429903</c:v>
                </c:pt>
                <c:pt idx="245">
                  <c:v>0.77894736842105261</c:v>
                </c:pt>
                <c:pt idx="246">
                  <c:v>11.980952380952381</c:v>
                </c:pt>
                <c:pt idx="247">
                  <c:v>0.393877551020408</c:v>
                </c:pt>
                <c:pt idx="248">
                  <c:v>1.9636363636363634</c:v>
                </c:pt>
                <c:pt idx="249">
                  <c:v>1.4308943089430897</c:v>
                </c:pt>
                <c:pt idx="250">
                  <c:v>5.8775510204081636</c:v>
                </c:pt>
                <c:pt idx="251">
                  <c:v>8.3117408906882595</c:v>
                </c:pt>
                <c:pt idx="252">
                  <c:v>5.6412213740458004</c:v>
                </c:pt>
                <c:pt idx="253">
                  <c:v>4.522388059701492</c:v>
                </c:pt>
                <c:pt idx="254">
                  <c:v>3.0437158469945356</c:v>
                </c:pt>
                <c:pt idx="255">
                  <c:v>0.43611111111111112</c:v>
                </c:pt>
                <c:pt idx="256">
                  <c:v>2.2653061224489797</c:v>
                </c:pt>
                <c:pt idx="257">
                  <c:v>0.16630669546436305</c:v>
                </c:pt>
                <c:pt idx="258">
                  <c:v>1.158311345646438</c:v>
                </c:pt>
                <c:pt idx="259">
                  <c:v>3.8675373134328357</c:v>
                </c:pt>
                <c:pt idx="260">
                  <c:v>0.96722408026755824</c:v>
                </c:pt>
                <c:pt idx="261">
                  <c:v>4.8391959798994968</c:v>
                </c:pt>
                <c:pt idx="262">
                  <c:v>0.41295546558704443</c:v>
                </c:pt>
                <c:pt idx="263">
                  <c:v>1.2592592592592591</c:v>
                </c:pt>
                <c:pt idx="264">
                  <c:v>3.9610389610389607</c:v>
                </c:pt>
                <c:pt idx="265">
                  <c:v>3.179347826086957</c:v>
                </c:pt>
                <c:pt idx="266">
                  <c:v>1535.9230769230771</c:v>
                </c:pt>
                <c:pt idx="267">
                  <c:v>2.2083333333333335</c:v>
                </c:pt>
                <c:pt idx="268">
                  <c:v>4.957243816254417</c:v>
                </c:pt>
                <c:pt idx="269">
                  <c:v>1.8192771084337349</c:v>
                </c:pt>
                <c:pt idx="270">
                  <c:v>1.2967032967032965</c:v>
                </c:pt>
                <c:pt idx="271">
                  <c:v>0.5490196078431373</c:v>
                </c:pt>
                <c:pt idx="272">
                  <c:v>1.552204176334107</c:v>
                </c:pt>
                <c:pt idx="273">
                  <c:v>2.1554054054054053</c:v>
                </c:pt>
                <c:pt idx="274">
                  <c:v>0.85813953488372108</c:v>
                </c:pt>
                <c:pt idx="275">
                  <c:v>1.7540983606557377</c:v>
                </c:pt>
                <c:pt idx="276">
                  <c:v>1.2021276595744679</c:v>
                </c:pt>
                <c:pt idx="277">
                  <c:v>1.7307692307692304</c:v>
                </c:pt>
                <c:pt idx="278">
                  <c:v>1.2576112412177989</c:v>
                </c:pt>
                <c:pt idx="279">
                  <c:v>3.1847133757961785</c:v>
                </c:pt>
                <c:pt idx="280">
                  <c:v>1.9661016949152543</c:v>
                </c:pt>
                <c:pt idx="281">
                  <c:v>10.627118644067798</c:v>
                </c:pt>
                <c:pt idx="282">
                  <c:v>1.8767123287671232</c:v>
                </c:pt>
                <c:pt idx="283">
                  <c:v>1.5906735751295336</c:v>
                </c:pt>
                <c:pt idx="284">
                  <c:v>26.051724137931036</c:v>
                </c:pt>
                <c:pt idx="285">
                  <c:v>57.817460317460316</c:v>
                </c:pt>
                <c:pt idx="286">
                  <c:v>5.4189189189189184</c:v>
                </c:pt>
                <c:pt idx="287">
                  <c:v>0.94945848375451281</c:v>
                </c:pt>
                <c:pt idx="288">
                  <c:v>11.773722627737225</c:v>
                </c:pt>
                <c:pt idx="289">
                  <c:v>0.35463258785942497</c:v>
                </c:pt>
                <c:pt idx="290">
                  <c:v>2.9740740740740739</c:v>
                </c:pt>
                <c:pt idx="291">
                  <c:v>39.361990950226243</c:v>
                </c:pt>
                <c:pt idx="292">
                  <c:v>0.95945945945945943</c:v>
                </c:pt>
                <c:pt idx="293">
                  <c:v>2.0627450980392159</c:v>
                </c:pt>
                <c:pt idx="294">
                  <c:v>1.1494252873563218</c:v>
                </c:pt>
                <c:pt idx="295">
                  <c:v>2.5542168674698797</c:v>
                </c:pt>
                <c:pt idx="296">
                  <c:v>3.9459459459459465</c:v>
                </c:pt>
                <c:pt idx="297">
                  <c:v>23.363636363636363</c:v>
                </c:pt>
                <c:pt idx="298">
                  <c:v>3.7767857142857135</c:v>
                </c:pt>
                <c:pt idx="299">
                  <c:v>26.897435897435898</c:v>
                </c:pt>
                <c:pt idx="300">
                  <c:v>4.2175438596491226</c:v>
                </c:pt>
                <c:pt idx="301">
                  <c:v>3.1516245487364625</c:v>
                </c:pt>
                <c:pt idx="302">
                  <c:v>1.943548387096774</c:v>
                </c:pt>
                <c:pt idx="303">
                  <c:v>2.2531400966183579</c:v>
                </c:pt>
                <c:pt idx="304">
                  <c:v>13.798850574712645</c:v>
                </c:pt>
                <c:pt idx="305">
                  <c:v>5.7407407407407405</c:v>
                </c:pt>
                <c:pt idx="306">
                  <c:v>0.5</c:v>
                </c:pt>
                <c:pt idx="307">
                  <c:v>177.1081081081081</c:v>
                </c:pt>
                <c:pt idx="308">
                  <c:v>10.212121212121211</c:v>
                </c:pt>
                <c:pt idx="309">
                  <c:v>0.33720930232558155</c:v>
                </c:pt>
                <c:pt idx="310">
                  <c:v>3.894327030033371</c:v>
                </c:pt>
                <c:pt idx="311">
                  <c:v>0.46627565982404717</c:v>
                </c:pt>
                <c:pt idx="312">
                  <c:v>186.64705882352942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EE-4092-B7A1-E90376C51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623999"/>
        <c:axId val="1744647295"/>
      </c:scatterChart>
      <c:valAx>
        <c:axId val="1744623999"/>
        <c:scaling>
          <c:logBase val="10"/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Shares Outstanding</a:t>
                </a:r>
              </a:p>
            </c:rich>
          </c:tx>
          <c:layout>
            <c:manualLayout>
              <c:xMode val="edge"/>
              <c:yMode val="edge"/>
              <c:x val="0.30429909265971322"/>
              <c:y val="0.91762158797583593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108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47295"/>
        <c:crosses val="autoZero"/>
        <c:crossBetween val="midCat"/>
      </c:valAx>
      <c:valAx>
        <c:axId val="17446472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%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2399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>
                <a:solidFill>
                  <a:schemeClr val="bg1"/>
                </a:solidFill>
              </a:rPr>
              <a:t>Peak % Vs Normalized Slope 50 ma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PeakVsDiff50Ma</c:v>
          </c:tx>
          <c:spPr>
            <a:ln w="25400" cap="rnd">
              <a:noFill/>
              <a:prstDash val="solid"/>
            </a:ln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</c:marker>
          <c:xVal>
            <c:numRef>
              <c:f>Stocks!$AH$6:$AH$318</c:f>
              <c:numCache>
                <c:formatCode>General</c:formatCode>
                <c:ptCount val="313"/>
                <c:pt idx="38">
                  <c:v>1.0235262936343344E-3</c:v>
                </c:pt>
                <c:pt idx="39">
                  <c:v>-8.4697708870782131E-4</c:v>
                </c:pt>
                <c:pt idx="40">
                  <c:v>3.7751581143638658E-3</c:v>
                </c:pt>
                <c:pt idx="41">
                  <c:v>-1.9530889278788076E-3</c:v>
                </c:pt>
                <c:pt idx="42">
                  <c:v>#N/A</c:v>
                </c:pt>
                <c:pt idx="43">
                  <c:v>-7.8315407795770068E-3</c:v>
                </c:pt>
                <c:pt idx="44">
                  <c:v>-2.6419038203516591E-2</c:v>
                </c:pt>
                <c:pt idx="45">
                  <c:v>-1.1542085686733738E-2</c:v>
                </c:pt>
                <c:pt idx="46">
                  <c:v>8.2646851844185782E-4</c:v>
                </c:pt>
                <c:pt idx="47">
                  <c:v>-9.652832231158353E-3</c:v>
                </c:pt>
                <c:pt idx="48">
                  <c:v>5.89742844506215E-3</c:v>
                </c:pt>
                <c:pt idx="49">
                  <c:v>-1.5891904206937809E-3</c:v>
                </c:pt>
                <c:pt idx="50">
                  <c:v>-2.849869986017275E-4</c:v>
                </c:pt>
                <c:pt idx="51">
                  <c:v>4.3210276811454749E-3</c:v>
                </c:pt>
                <c:pt idx="52">
                  <c:v>1.7851352721835228E-2</c:v>
                </c:pt>
                <c:pt idx="53">
                  <c:v>-3.5185281659833728E-2</c:v>
                </c:pt>
                <c:pt idx="54">
                  <c:v>-2.5291428046628744E-3</c:v>
                </c:pt>
                <c:pt idx="55">
                  <c:v>-7.9249011079842793E-3</c:v>
                </c:pt>
                <c:pt idx="56">
                  <c:v>-1.1129461569363189E-2</c:v>
                </c:pt>
                <c:pt idx="57">
                  <c:v>-4.6322232596754322E-4</c:v>
                </c:pt>
                <c:pt idx="58">
                  <c:v>1.2148910090353123E-3</c:v>
                </c:pt>
                <c:pt idx="59">
                  <c:v>-2.7325016963307041E-3</c:v>
                </c:pt>
                <c:pt idx="60">
                  <c:v>-4.2080303195657686E-3</c:v>
                </c:pt>
                <c:pt idx="61">
                  <c:v>-2.3465949579829842E-3</c:v>
                </c:pt>
                <c:pt idx="62">
                  <c:v>-1.2956624510269224E-2</c:v>
                </c:pt>
                <c:pt idx="63">
                  <c:v>-2.8437944698226068E-3</c:v>
                </c:pt>
                <c:pt idx="64">
                  <c:v>-1.0729617934130435E-2</c:v>
                </c:pt>
                <c:pt idx="65">
                  <c:v>-6.202527253675664E-3</c:v>
                </c:pt>
                <c:pt idx="66">
                  <c:v>-1.2676632296754612E-2</c:v>
                </c:pt>
                <c:pt idx="67">
                  <c:v>-1.7447846608523093E-2</c:v>
                </c:pt>
                <c:pt idx="68">
                  <c:v>-1.2933225749316395E-2</c:v>
                </c:pt>
                <c:pt idx="69">
                  <c:v>-6.5302511982231653E-3</c:v>
                </c:pt>
                <c:pt idx="70">
                  <c:v>-5.1710844337734506E-3</c:v>
                </c:pt>
                <c:pt idx="71">
                  <c:v>-4.5718573143542149E-3</c:v>
                </c:pt>
                <c:pt idx="72">
                  <c:v>-6.7792267121441485E-3</c:v>
                </c:pt>
                <c:pt idx="73">
                  <c:v>-3.8532336011326282E-3</c:v>
                </c:pt>
                <c:pt idx="74">
                  <c:v>-1.8525810324129764E-3</c:v>
                </c:pt>
                <c:pt idx="75">
                  <c:v>-2.2337049105356759E-3</c:v>
                </c:pt>
                <c:pt idx="76">
                  <c:v>#N/A</c:v>
                </c:pt>
                <c:pt idx="77">
                  <c:v>-4.3376395334251937E-3</c:v>
                </c:pt>
                <c:pt idx="78">
                  <c:v>-5.4108451891390639E-3</c:v>
                </c:pt>
                <c:pt idx="79">
                  <c:v>-2.7184304378685144E-3</c:v>
                </c:pt>
                <c:pt idx="80">
                  <c:v>9.6554689502600915E-3</c:v>
                </c:pt>
                <c:pt idx="81">
                  <c:v>3.5517940509537084E-2</c:v>
                </c:pt>
                <c:pt idx="82">
                  <c:v>-2.9578911333319653E-2</c:v>
                </c:pt>
                <c:pt idx="83">
                  <c:v>-3.4985252019359273E-2</c:v>
                </c:pt>
                <c:pt idx="84">
                  <c:v>6.708302119803642E-3</c:v>
                </c:pt>
                <c:pt idx="85">
                  <c:v>0.11771690494379546</c:v>
                </c:pt>
                <c:pt idx="86">
                  <c:v>5.8439375750301203E-3</c:v>
                </c:pt>
                <c:pt idx="87">
                  <c:v>-3.6121115112709001E-3</c:v>
                </c:pt>
                <c:pt idx="88">
                  <c:v>6.6666666666665344E-3</c:v>
                </c:pt>
                <c:pt idx="89">
                  <c:v>-1.2074648041034716E-2</c:v>
                </c:pt>
                <c:pt idx="90">
                  <c:v>3.1761275938942284E-3</c:v>
                </c:pt>
                <c:pt idx="91">
                  <c:v>5.5102040816324624E-3</c:v>
                </c:pt>
                <c:pt idx="92">
                  <c:v>-1.4680157777397142E-3</c:v>
                </c:pt>
                <c:pt idx="93">
                  <c:v>-3.1932773109243251E-2</c:v>
                </c:pt>
                <c:pt idx="94">
                  <c:v>3.1532613045219338E-3</c:v>
                </c:pt>
                <c:pt idx="95">
                  <c:v>5.9483793517407001E-3</c:v>
                </c:pt>
                <c:pt idx="96">
                  <c:v>1.0231785021703847E-3</c:v>
                </c:pt>
                <c:pt idx="97">
                  <c:v>9.3757503001199172E-3</c:v>
                </c:pt>
                <c:pt idx="98">
                  <c:v>-1.6379694735037285E-2</c:v>
                </c:pt>
                <c:pt idx="99">
                  <c:v>-1.6795289544389334E-2</c:v>
                </c:pt>
                <c:pt idx="100">
                  <c:v>-8.1863856653775179E-3</c:v>
                </c:pt>
                <c:pt idx="101">
                  <c:v>-7.6095779629216653E-3</c:v>
                </c:pt>
                <c:pt idx="102">
                  <c:v>-4.7875900360143907E-2</c:v>
                </c:pt>
                <c:pt idx="103">
                  <c:v>-1.1442267047664191E-2</c:v>
                </c:pt>
                <c:pt idx="104">
                  <c:v>-7.660723152136879E-3</c:v>
                </c:pt>
                <c:pt idx="105">
                  <c:v>-7.3264784174541389E-3</c:v>
                </c:pt>
                <c:pt idx="106">
                  <c:v>-2.5677639476843157E-2</c:v>
                </c:pt>
                <c:pt idx="107">
                  <c:v>-1.0510557164041649E-2</c:v>
                </c:pt>
                <c:pt idx="108">
                  <c:v>-1.4660633484163001E-2</c:v>
                </c:pt>
                <c:pt idx="109">
                  <c:v>-9.9853995652314596E-3</c:v>
                </c:pt>
                <c:pt idx="110">
                  <c:v>-1.0554229126595056E-2</c:v>
                </c:pt>
                <c:pt idx="111">
                  <c:v>-3.6960820691911271E-3</c:v>
                </c:pt>
                <c:pt idx="112">
                  <c:v>-7.8863433485281582E-3</c:v>
                </c:pt>
                <c:pt idx="113">
                  <c:v>-8.7765945087712426E-3</c:v>
                </c:pt>
                <c:pt idx="114">
                  <c:v>-2.8997463647113153E-3</c:v>
                </c:pt>
                <c:pt idx="115">
                  <c:v>1.6096438575426354E-3</c:v>
                </c:pt>
                <c:pt idx="116">
                  <c:v>-1.3649099362608615E-2</c:v>
                </c:pt>
                <c:pt idx="117">
                  <c:v>-1.6895714807662089E-2</c:v>
                </c:pt>
                <c:pt idx="118">
                  <c:v>-4.1696678671468571E-3</c:v>
                </c:pt>
                <c:pt idx="119">
                  <c:v>-1.6120266288333296E-2</c:v>
                </c:pt>
                <c:pt idx="120">
                  <c:v>-4.1242184982229403E-2</c:v>
                </c:pt>
                <c:pt idx="121">
                  <c:v>-2.6049007838429471E-2</c:v>
                </c:pt>
                <c:pt idx="122">
                  <c:v>-2.0732292917167626E-2</c:v>
                </c:pt>
                <c:pt idx="123">
                  <c:v>-1.1836734693877417E-2</c:v>
                </c:pt>
                <c:pt idx="124">
                  <c:v>-4.8804976536069092E-2</c:v>
                </c:pt>
                <c:pt idx="125">
                  <c:v>-2.4712706135085527E-2</c:v>
                </c:pt>
                <c:pt idx="127">
                  <c:v>2.543469000503347E-3</c:v>
                </c:pt>
                <c:pt idx="128">
                  <c:v>-3.3979455762153908E-2</c:v>
                </c:pt>
                <c:pt idx="129">
                  <c:v>-6.3497398959586667E-3</c:v>
                </c:pt>
                <c:pt idx="130">
                  <c:v>8.5062596467143294E-4</c:v>
                </c:pt>
                <c:pt idx="131">
                  <c:v>-5.3716459907683312E-2</c:v>
                </c:pt>
                <c:pt idx="132">
                  <c:v>2.142707082833125E-2</c:v>
                </c:pt>
                <c:pt idx="133">
                  <c:v>2.1529377301157801E-3</c:v>
                </c:pt>
                <c:pt idx="134">
                  <c:v>-1.3517931675981455E-2</c:v>
                </c:pt>
                <c:pt idx="135">
                  <c:v>-2.8110329238077662E-2</c:v>
                </c:pt>
                <c:pt idx="136">
                  <c:v>-1.5563368204424613E-4</c:v>
                </c:pt>
                <c:pt idx="137">
                  <c:v>-2.6245884857010224E-2</c:v>
                </c:pt>
                <c:pt idx="138">
                  <c:v>1.1893877551020436E-2</c:v>
                </c:pt>
                <c:pt idx="161">
                  <c:v>3.1122014022999709E-3</c:v>
                </c:pt>
                <c:pt idx="162">
                  <c:v>-7.7832017229002015E-3</c:v>
                </c:pt>
                <c:pt idx="163">
                  <c:v>3.5252188680348052E-3</c:v>
                </c:pt>
                <c:pt idx="164">
                  <c:v>-1.666582125808148E-3</c:v>
                </c:pt>
                <c:pt idx="165">
                  <c:v>3.1101397701936246E-3</c:v>
                </c:pt>
                <c:pt idx="166">
                  <c:v>-9.3849506211029655E-3</c:v>
                </c:pt>
                <c:pt idx="167">
                  <c:v>-7.4688868353100016E-4</c:v>
                </c:pt>
                <c:pt idx="168">
                  <c:v>-6.3372711109755571E-3</c:v>
                </c:pt>
                <c:pt idx="169">
                  <c:v>4.2132750536105906E-3</c:v>
                </c:pt>
                <c:pt idx="170">
                  <c:v>2.7886544057623041E-2</c:v>
                </c:pt>
                <c:pt idx="171">
                  <c:v>1.2378271308523151E-2</c:v>
                </c:pt>
                <c:pt idx="172">
                  <c:v>4.0448422715094676E-3</c:v>
                </c:pt>
                <c:pt idx="173">
                  <c:v>1.5337880492511169E-2</c:v>
                </c:pt>
                <c:pt idx="174">
                  <c:v>8.2095644227839892E-3</c:v>
                </c:pt>
                <c:pt idx="175">
                  <c:v>6.0370672212546718E-3</c:v>
                </c:pt>
                <c:pt idx="176">
                  <c:v>1.5627160611537062E-2</c:v>
                </c:pt>
                <c:pt idx="177">
                  <c:v>2.5867785465596205E-2</c:v>
                </c:pt>
                <c:pt idx="178">
                  <c:v>-6.6974158084258156E-4</c:v>
                </c:pt>
                <c:pt idx="179">
                  <c:v>2.1808055222088701E-2</c:v>
                </c:pt>
                <c:pt idx="180">
                  <c:v>7.4773275646890097E-3</c:v>
                </c:pt>
                <c:pt idx="181">
                  <c:v>4.6940226757367556E-3</c:v>
                </c:pt>
                <c:pt idx="182">
                  <c:v>5.0438342153001801E-3</c:v>
                </c:pt>
                <c:pt idx="183">
                  <c:v>9.1865100138417474E-3</c:v>
                </c:pt>
                <c:pt idx="184">
                  <c:v>6.8902266789068137E-3</c:v>
                </c:pt>
                <c:pt idx="185">
                  <c:v>-1.525970149253779E-3</c:v>
                </c:pt>
                <c:pt idx="186">
                  <c:v>3.6302845138052749E-3</c:v>
                </c:pt>
                <c:pt idx="187">
                  <c:v>7.3279800809213881E-3</c:v>
                </c:pt>
                <c:pt idx="188">
                  <c:v>9.44421011647892E-3</c:v>
                </c:pt>
                <c:pt idx="189">
                  <c:v>6.1095207313695468E-3</c:v>
                </c:pt>
                <c:pt idx="190">
                  <c:v>4.8979591836736131E-3</c:v>
                </c:pt>
                <c:pt idx="191">
                  <c:v>5.779153766769368E-3</c:v>
                </c:pt>
                <c:pt idx="192">
                  <c:v>1.0852340936374388E-2</c:v>
                </c:pt>
                <c:pt idx="193">
                  <c:v>9.0740296118446331E-3</c:v>
                </c:pt>
                <c:pt idx="194">
                  <c:v>-1.9239695878358999E-3</c:v>
                </c:pt>
                <c:pt idx="195">
                  <c:v>6.1384553821528425E-3</c:v>
                </c:pt>
                <c:pt idx="196">
                  <c:v>9.2792316926768609E-3</c:v>
                </c:pt>
                <c:pt idx="197">
                  <c:v>6.6820574383598076E-3</c:v>
                </c:pt>
                <c:pt idx="198">
                  <c:v>1.0302787781779335E-2</c:v>
                </c:pt>
                <c:pt idx="199">
                  <c:v>8.3453758862036039E-3</c:v>
                </c:pt>
                <c:pt idx="200">
                  <c:v>3.3392325111862783E-3</c:v>
                </c:pt>
                <c:pt idx="201">
                  <c:v>8.9139134009768497E-3</c:v>
                </c:pt>
                <c:pt idx="202">
                  <c:v>1.2150544833316296E-3</c:v>
                </c:pt>
                <c:pt idx="203">
                  <c:v>4.1509626072649807E-3</c:v>
                </c:pt>
                <c:pt idx="204">
                  <c:v>-1.6048221630572672E-2</c:v>
                </c:pt>
                <c:pt idx="205">
                  <c:v>4.3396172262008216E-3</c:v>
                </c:pt>
                <c:pt idx="206">
                  <c:v>7.4932372949178547E-3</c:v>
                </c:pt>
                <c:pt idx="207">
                  <c:v>-2.1410067786522906E-4</c:v>
                </c:pt>
                <c:pt idx="208">
                  <c:v>5.5779008006081156E-3</c:v>
                </c:pt>
                <c:pt idx="209">
                  <c:v>1.5109243697477551E-3</c:v>
                </c:pt>
                <c:pt idx="210">
                  <c:v>7.8922262238227212E-3</c:v>
                </c:pt>
                <c:pt idx="211">
                  <c:v>-5.1085049404389618E-3</c:v>
                </c:pt>
                <c:pt idx="212">
                  <c:v>1.0465857502028328E-3</c:v>
                </c:pt>
                <c:pt idx="213">
                  <c:v>-1.665199413102127E-4</c:v>
                </c:pt>
                <c:pt idx="214">
                  <c:v>-2.2872577602466429E-2</c:v>
                </c:pt>
                <c:pt idx="215">
                  <c:v>9.0861071701407274E-3</c:v>
                </c:pt>
                <c:pt idx="216">
                  <c:v>5.2022843145356273E-3</c:v>
                </c:pt>
                <c:pt idx="217">
                  <c:v>2.2986147267893896E-3</c:v>
                </c:pt>
                <c:pt idx="218">
                  <c:v>-1.9791161747670681E-5</c:v>
                </c:pt>
                <c:pt idx="219">
                  <c:v>-8.7567289853006988E-3</c:v>
                </c:pt>
                <c:pt idx="220">
                  <c:v>-1.0546452815360119E-2</c:v>
                </c:pt>
                <c:pt idx="221">
                  <c:v>8.1876200480191768E-3</c:v>
                </c:pt>
                <c:pt idx="222">
                  <c:v>1.8996981970360231E-3</c:v>
                </c:pt>
                <c:pt idx="223">
                  <c:v>-4.6248923098651615E-3</c:v>
                </c:pt>
                <c:pt idx="224">
                  <c:v>1.2954147176109712E-3</c:v>
                </c:pt>
                <c:pt idx="225">
                  <c:v>-4.146728458825329E-3</c:v>
                </c:pt>
                <c:pt idx="226">
                  <c:v>-1.546627071881202E-3</c:v>
                </c:pt>
                <c:pt idx="227">
                  <c:v>2.4608743210751119E-3</c:v>
                </c:pt>
                <c:pt idx="229">
                  <c:v>2.3146634653862801E-3</c:v>
                </c:pt>
                <c:pt idx="230">
                  <c:v>-5.7207011836991938E-3</c:v>
                </c:pt>
                <c:pt idx="231">
                  <c:v>-1.3321306368701233E-2</c:v>
                </c:pt>
                <c:pt idx="232">
                  <c:v>2.2443722752258531E-3</c:v>
                </c:pt>
                <c:pt idx="233">
                  <c:v>-8.1759688002211114E-4</c:v>
                </c:pt>
                <c:pt idx="234">
                  <c:v>3.1213848251163264E-3</c:v>
                </c:pt>
                <c:pt idx="235">
                  <c:v>4.8830868685384027E-3</c:v>
                </c:pt>
                <c:pt idx="236">
                  <c:v>3.511223700804813E-3</c:v>
                </c:pt>
                <c:pt idx="237">
                  <c:v>-8.1617772383681102E-3</c:v>
                </c:pt>
                <c:pt idx="238">
                  <c:v>-9.2728238836514761E-3</c:v>
                </c:pt>
                <c:pt idx="239">
                  <c:v>9.0841524323039928E-3</c:v>
                </c:pt>
                <c:pt idx="240">
                  <c:v>2.5154141656659858E-3</c:v>
                </c:pt>
                <c:pt idx="241">
                  <c:v>6.3707237733809569E-4</c:v>
                </c:pt>
                <c:pt idx="242">
                  <c:v>-6.600766509814171E-4</c:v>
                </c:pt>
                <c:pt idx="243">
                  <c:v>6.7340054721076424E-3</c:v>
                </c:pt>
                <c:pt idx="244">
                  <c:v>-8.2795626358644139E-3</c:v>
                </c:pt>
                <c:pt idx="245">
                  <c:v>8.8101504431560094E-3</c:v>
                </c:pt>
                <c:pt idx="246">
                  <c:v>-2.3919281998509949E-3</c:v>
                </c:pt>
                <c:pt idx="247">
                  <c:v>-1.9060847479489503E-3</c:v>
                </c:pt>
                <c:pt idx="248">
                  <c:v>4.2362597458489738E-3</c:v>
                </c:pt>
                <c:pt idx="249">
                  <c:v>3.5476431895073062E-3</c:v>
                </c:pt>
                <c:pt idx="250">
                  <c:v>6.7230517436610735E-3</c:v>
                </c:pt>
                <c:pt idx="252">
                  <c:v>-7.7237090324826685E-4</c:v>
                </c:pt>
                <c:pt idx="253">
                  <c:v>3.5060840739713378E-3</c:v>
                </c:pt>
                <c:pt idx="254">
                  <c:v>-2.1538797337000758E-5</c:v>
                </c:pt>
                <c:pt idx="255">
                  <c:v>7.3939140873745647E-4</c:v>
                </c:pt>
                <c:pt idx="256">
                  <c:v>7.6194708020191791E-3</c:v>
                </c:pt>
                <c:pt idx="257">
                  <c:v>2.7541257951144118E-2</c:v>
                </c:pt>
                <c:pt idx="258">
                  <c:v>3.1245874349737778E-3</c:v>
                </c:pt>
                <c:pt idx="259">
                  <c:v>-5.8249361258447811E-2</c:v>
                </c:pt>
                <c:pt idx="260">
                  <c:v>-1.6181663676705937E-2</c:v>
                </c:pt>
                <c:pt idx="261">
                  <c:v>-4.7295703995904012E-4</c:v>
                </c:pt>
                <c:pt idx="262">
                  <c:v>2.5631258217572662E-2</c:v>
                </c:pt>
                <c:pt idx="263">
                  <c:v>-1.5352762438308555E-2</c:v>
                </c:pt>
                <c:pt idx="264">
                  <c:v>-1.2296061281655536E-2</c:v>
                </c:pt>
                <c:pt idx="265">
                  <c:v>-6.2272528058844451E-3</c:v>
                </c:pt>
                <c:pt idx="266">
                  <c:v>-3.9448108010327401E-3</c:v>
                </c:pt>
                <c:pt idx="267">
                  <c:v>1.4284256212605789E-3</c:v>
                </c:pt>
                <c:pt idx="268">
                  <c:v>-4.8461247512705477E-4</c:v>
                </c:pt>
                <c:pt idx="269">
                  <c:v>-1.119307345579717E-2</c:v>
                </c:pt>
                <c:pt idx="270">
                  <c:v>7.4028372639377742E-3</c:v>
                </c:pt>
                <c:pt idx="271">
                  <c:v>-2.3256754756697261E-2</c:v>
                </c:pt>
                <c:pt idx="272">
                  <c:v>5.0904386227629272E-4</c:v>
                </c:pt>
                <c:pt idx="273">
                  <c:v>1.286237009089343E-2</c:v>
                </c:pt>
                <c:pt idx="274">
                  <c:v>1.3841416806243375E-2</c:v>
                </c:pt>
                <c:pt idx="275">
                  <c:v>-1.4375965770924088E-2</c:v>
                </c:pt>
                <c:pt idx="276">
                  <c:v>-1.230707282913E-3</c:v>
                </c:pt>
                <c:pt idx="277">
                  <c:v>-1.0530062492286401E-2</c:v>
                </c:pt>
                <c:pt idx="278">
                  <c:v>-2.0704943486828772E-2</c:v>
                </c:pt>
                <c:pt idx="279">
                  <c:v>1.9973744574754834E-3</c:v>
                </c:pt>
                <c:pt idx="280">
                  <c:v>-9.9418550028708697E-3</c:v>
                </c:pt>
                <c:pt idx="281">
                  <c:v>-1.9410035200520804E-2</c:v>
                </c:pt>
                <c:pt idx="282">
                  <c:v>-2.6772940161982348E-3</c:v>
                </c:pt>
                <c:pt idx="283">
                  <c:v>1.1912176037926394E-3</c:v>
                </c:pt>
                <c:pt idx="284">
                  <c:v>-1.8871127925516715E-3</c:v>
                </c:pt>
                <c:pt idx="285">
                  <c:v>2.039731448134833E-3</c:v>
                </c:pt>
                <c:pt idx="288">
                  <c:v>4.9881126173094373E-3</c:v>
                </c:pt>
                <c:pt idx="289">
                  <c:v>2.4904910535642733E-3</c:v>
                </c:pt>
                <c:pt idx="290">
                  <c:v>-1.1646957913600002E-2</c:v>
                </c:pt>
                <c:pt idx="291">
                  <c:v>-4.0329051077444937E-2</c:v>
                </c:pt>
                <c:pt idx="292">
                  <c:v>6.6746458583432618E-3</c:v>
                </c:pt>
                <c:pt idx="293">
                  <c:v>#N/A</c:v>
                </c:pt>
                <c:pt idx="294">
                  <c:v>-1.2214048410061686E-2</c:v>
                </c:pt>
                <c:pt idx="295">
                  <c:v>-9.4036020170370702E-3</c:v>
                </c:pt>
                <c:pt idx="296">
                  <c:v>-9.6225677084020474E-3</c:v>
                </c:pt>
                <c:pt idx="297">
                  <c:v>-4.3605248159869795E-3</c:v>
                </c:pt>
                <c:pt idx="298">
                  <c:v>-1.8700394443491499E-2</c:v>
                </c:pt>
                <c:pt idx="299">
                  <c:v>-2.7153015052174103E-3</c:v>
                </c:pt>
                <c:pt idx="300">
                  <c:v>-1.4909172975146811E-2</c:v>
                </c:pt>
                <c:pt idx="301">
                  <c:v>-1.3309468191608699E-2</c:v>
                </c:pt>
                <c:pt idx="302">
                  <c:v>-3.6967683073230242E-3</c:v>
                </c:pt>
                <c:pt idx="303">
                  <c:v>-7.8869758445237366E-3</c:v>
                </c:pt>
                <c:pt idx="304">
                  <c:v>-9.4309999862018684E-2</c:v>
                </c:pt>
                <c:pt idx="305">
                  <c:v>1.7237294917967223E-2</c:v>
                </c:pt>
                <c:pt idx="306">
                  <c:v>1.5354621848739598E-2</c:v>
                </c:pt>
                <c:pt idx="307">
                  <c:v>1.2723792219588676E-2</c:v>
                </c:pt>
                <c:pt idx="308">
                  <c:v>3.479209865768424E-3</c:v>
                </c:pt>
                <c:pt idx="309">
                  <c:v>1.9767834735704298E-2</c:v>
                </c:pt>
                <c:pt idx="310">
                  <c:v>2.2450234821403004E-2</c:v>
                </c:pt>
                <c:pt idx="311">
                  <c:v>1.2813084931706045E-2</c:v>
                </c:pt>
                <c:pt idx="312">
                  <c:v>5.6113874121071433E-3</c:v>
                </c:pt>
              </c:numCache>
            </c:numRef>
          </c:xVal>
          <c:yVal>
            <c:numRef>
              <c:f>Stocks!$L$6:$L$318</c:f>
              <c:numCache>
                <c:formatCode>0.00%</c:formatCode>
                <c:ptCount val="313"/>
                <c:pt idx="0">
                  <c:v>0.10476190476190461</c:v>
                </c:pt>
                <c:pt idx="1">
                  <c:v>2.3041474654378113E-2</c:v>
                </c:pt>
                <c:pt idx="2">
                  <c:v>4.9342105263157965E-2</c:v>
                </c:pt>
                <c:pt idx="3">
                  <c:v>0.74725274725274726</c:v>
                </c:pt>
                <c:pt idx="4">
                  <c:v>3.01111111111112E-2</c:v>
                </c:pt>
                <c:pt idx="5">
                  <c:v>8.7499999999999911E-2</c:v>
                </c:pt>
                <c:pt idx="6">
                  <c:v>6.3780487804877994E-2</c:v>
                </c:pt>
                <c:pt idx="7">
                  <c:v>1.8774559743850894E-2</c:v>
                </c:pt>
                <c:pt idx="8">
                  <c:v>0.64655172413793105</c:v>
                </c:pt>
                <c:pt idx="9">
                  <c:v>7.6335877862594437E-3</c:v>
                </c:pt>
                <c:pt idx="10">
                  <c:v>6.3829787234042534E-2</c:v>
                </c:pt>
                <c:pt idx="11">
                  <c:v>0.29281767955801086</c:v>
                </c:pt>
                <c:pt idx="12">
                  <c:v>0.16030534351145032</c:v>
                </c:pt>
                <c:pt idx="13">
                  <c:v>0.27803738317756999</c:v>
                </c:pt>
                <c:pt idx="14">
                  <c:v>0.51063829787234027</c:v>
                </c:pt>
                <c:pt idx="15">
                  <c:v>0.15044247787610621</c:v>
                </c:pt>
                <c:pt idx="16">
                  <c:v>0.19999999999999996</c:v>
                </c:pt>
                <c:pt idx="17">
                  <c:v>0.15025906735751304</c:v>
                </c:pt>
                <c:pt idx="18">
                  <c:v>0.16550522648083632</c:v>
                </c:pt>
                <c:pt idx="19">
                  <c:v>0.15835140997830788</c:v>
                </c:pt>
                <c:pt idx="20">
                  <c:v>0.37790697674418605</c:v>
                </c:pt>
                <c:pt idx="21">
                  <c:v>0.17380352644836261</c:v>
                </c:pt>
                <c:pt idx="22">
                  <c:v>0.14563758389261738</c:v>
                </c:pt>
                <c:pt idx="23">
                  <c:v>0.88888888888888884</c:v>
                </c:pt>
                <c:pt idx="24">
                  <c:v>0.26791866028708133</c:v>
                </c:pt>
                <c:pt idx="25">
                  <c:v>2.3923444976076791E-2</c:v>
                </c:pt>
                <c:pt idx="26">
                  <c:v>1.9148936170212627E-2</c:v>
                </c:pt>
                <c:pt idx="27">
                  <c:v>0.18090909090909091</c:v>
                </c:pt>
                <c:pt idx="28">
                  <c:v>0.1333333333333333</c:v>
                </c:pt>
                <c:pt idx="29">
                  <c:v>0.23762376237623761</c:v>
                </c:pt>
                <c:pt idx="30">
                  <c:v>0.42245989304812825</c:v>
                </c:pt>
                <c:pt idx="31">
                  <c:v>0.26818181818181808</c:v>
                </c:pt>
                <c:pt idx="32">
                  <c:v>0.22135416666666674</c:v>
                </c:pt>
                <c:pt idx="33">
                  <c:v>0.13654618473895574</c:v>
                </c:pt>
                <c:pt idx="34">
                  <c:v>0.26249999999999996</c:v>
                </c:pt>
                <c:pt idx="35">
                  <c:v>5.2173913043478404E-2</c:v>
                </c:pt>
                <c:pt idx="36">
                  <c:v>0.23031496062992129</c:v>
                </c:pt>
                <c:pt idx="37">
                  <c:v>2.5404157043879882E-2</c:v>
                </c:pt>
                <c:pt idx="38">
                  <c:v>0.60194174757281571</c:v>
                </c:pt>
                <c:pt idx="39">
                  <c:v>0.58723404255319145</c:v>
                </c:pt>
                <c:pt idx="40">
                  <c:v>0.25161073825503366</c:v>
                </c:pt>
                <c:pt idx="41">
                  <c:v>0.16891891891891886</c:v>
                </c:pt>
                <c:pt idx="42">
                  <c:v>9.8901098901098994E-2</c:v>
                </c:pt>
                <c:pt idx="43">
                  <c:v>2.6824324324324325</c:v>
                </c:pt>
                <c:pt idx="44">
                  <c:v>0.76470588235294135</c:v>
                </c:pt>
                <c:pt idx="45">
                  <c:v>1.3289036544850585E-2</c:v>
                </c:pt>
                <c:pt idx="46">
                  <c:v>1.0472103004291844</c:v>
                </c:pt>
                <c:pt idx="47">
                  <c:v>0.60919540229885039</c:v>
                </c:pt>
                <c:pt idx="48">
                  <c:v>0.16363636363636358</c:v>
                </c:pt>
                <c:pt idx="49">
                  <c:v>0.70434306569343064</c:v>
                </c:pt>
                <c:pt idx="50">
                  <c:v>1.1710526315789473</c:v>
                </c:pt>
                <c:pt idx="51">
                  <c:v>2.4691358024691468E-2</c:v>
                </c:pt>
                <c:pt idx="52">
                  <c:v>8.0873786407766985</c:v>
                </c:pt>
                <c:pt idx="53">
                  <c:v>9.3301435406698774E-2</c:v>
                </c:pt>
                <c:pt idx="54">
                  <c:v>0.38797814207650272</c:v>
                </c:pt>
                <c:pt idx="55">
                  <c:v>9.0163934426229719E-2</c:v>
                </c:pt>
                <c:pt idx="56">
                  <c:v>5.2837573385518422E-2</c:v>
                </c:pt>
                <c:pt idx="57">
                  <c:v>0.2222222222222221</c:v>
                </c:pt>
                <c:pt idx="58">
                  <c:v>1.754385964912264E-2</c:v>
                </c:pt>
                <c:pt idx="59">
                  <c:v>0</c:v>
                </c:pt>
                <c:pt idx="60">
                  <c:v>6.4628099173553721E-2</c:v>
                </c:pt>
                <c:pt idx="61">
                  <c:v>0.26400000000000001</c:v>
                </c:pt>
                <c:pt idx="62">
                  <c:v>0</c:v>
                </c:pt>
                <c:pt idx="63">
                  <c:v>0</c:v>
                </c:pt>
                <c:pt idx="64">
                  <c:v>0.41032608695652173</c:v>
                </c:pt>
                <c:pt idx="65">
                  <c:v>9.8265895953757232E-2</c:v>
                </c:pt>
                <c:pt idx="66">
                  <c:v>0.24657534246575352</c:v>
                </c:pt>
                <c:pt idx="67">
                  <c:v>0.58634538152610438</c:v>
                </c:pt>
                <c:pt idx="68">
                  <c:v>0.31525423728813551</c:v>
                </c:pt>
                <c:pt idx="69">
                  <c:v>0.88461538461538458</c:v>
                </c:pt>
                <c:pt idx="70">
                  <c:v>0.51785714285714257</c:v>
                </c:pt>
                <c:pt idx="71">
                  <c:v>1.7304964539007095</c:v>
                </c:pt>
                <c:pt idx="72">
                  <c:v>0.75428571428571423</c:v>
                </c:pt>
                <c:pt idx="73">
                  <c:v>11.380191693290735</c:v>
                </c:pt>
                <c:pt idx="74">
                  <c:v>1.3763157894736842</c:v>
                </c:pt>
                <c:pt idx="75">
                  <c:v>0.34928229665071764</c:v>
                </c:pt>
                <c:pt idx="76">
                  <c:v>0.13140604467805517</c:v>
                </c:pt>
                <c:pt idx="77">
                  <c:v>5.4545454545454675E-2</c:v>
                </c:pt>
                <c:pt idx="78">
                  <c:v>0.29875518672199153</c:v>
                </c:pt>
                <c:pt idx="79">
                  <c:v>0.17753623188405809</c:v>
                </c:pt>
                <c:pt idx="80">
                  <c:v>0.33377823408624208</c:v>
                </c:pt>
                <c:pt idx="81">
                  <c:v>0.65297450424929182</c:v>
                </c:pt>
                <c:pt idx="82">
                  <c:v>0.33725490196078445</c:v>
                </c:pt>
                <c:pt idx="83">
                  <c:v>0.3348623853211008</c:v>
                </c:pt>
                <c:pt idx="84">
                  <c:v>0.5095628415300546</c:v>
                </c:pt>
                <c:pt idx="85">
                  <c:v>1.5000000000000004</c:v>
                </c:pt>
                <c:pt idx="86">
                  <c:v>0.11111111111111116</c:v>
                </c:pt>
                <c:pt idx="87">
                  <c:v>1.5</c:v>
                </c:pt>
                <c:pt idx="88">
                  <c:v>0.66666666666666674</c:v>
                </c:pt>
                <c:pt idx="89">
                  <c:v>0.35511363636363624</c:v>
                </c:pt>
                <c:pt idx="90">
                  <c:v>0.14285714285714302</c:v>
                </c:pt>
                <c:pt idx="91">
                  <c:v>0.8333333333333337</c:v>
                </c:pt>
                <c:pt idx="92">
                  <c:v>0.14285714285714302</c:v>
                </c:pt>
                <c:pt idx="93">
                  <c:v>1.25</c:v>
                </c:pt>
                <c:pt idx="94">
                  <c:v>0.60000000000000009</c:v>
                </c:pt>
                <c:pt idx="95">
                  <c:v>0.90909090909090895</c:v>
                </c:pt>
                <c:pt idx="96">
                  <c:v>3.416666666666667</c:v>
                </c:pt>
                <c:pt idx="97">
                  <c:v>0.36363636363636354</c:v>
                </c:pt>
                <c:pt idx="98">
                  <c:v>1.6521739130434785</c:v>
                </c:pt>
                <c:pt idx="99">
                  <c:v>0.47368421052631571</c:v>
                </c:pt>
                <c:pt idx="100">
                  <c:v>0.25925925925925908</c:v>
                </c:pt>
                <c:pt idx="101">
                  <c:v>4.1640340218712026</c:v>
                </c:pt>
                <c:pt idx="102">
                  <c:v>1.8888888888888888</c:v>
                </c:pt>
                <c:pt idx="103">
                  <c:v>1.6175438596491225</c:v>
                </c:pt>
                <c:pt idx="104">
                  <c:v>0.18561872909698995</c:v>
                </c:pt>
                <c:pt idx="105">
                  <c:v>0.26434782608695651</c:v>
                </c:pt>
                <c:pt idx="106">
                  <c:v>0.78571428571428603</c:v>
                </c:pt>
                <c:pt idx="107">
                  <c:v>1.6875</c:v>
                </c:pt>
                <c:pt idx="108">
                  <c:v>0.41666666666666674</c:v>
                </c:pt>
                <c:pt idx="109">
                  <c:v>1.3611111111111112</c:v>
                </c:pt>
                <c:pt idx="110">
                  <c:v>1.3834586466165413</c:v>
                </c:pt>
                <c:pt idx="111">
                  <c:v>0.34545454545454546</c:v>
                </c:pt>
                <c:pt idx="112">
                  <c:v>0.28779342723004686</c:v>
                </c:pt>
                <c:pt idx="113">
                  <c:v>0.17064516129032259</c:v>
                </c:pt>
                <c:pt idx="114">
                  <c:v>0.41564705882352948</c:v>
                </c:pt>
                <c:pt idx="115">
                  <c:v>0.35999999999999988</c:v>
                </c:pt>
                <c:pt idx="116">
                  <c:v>0.42004773269689721</c:v>
                </c:pt>
                <c:pt idx="117">
                  <c:v>0.52173913043478271</c:v>
                </c:pt>
                <c:pt idx="118">
                  <c:v>0.18518518518518512</c:v>
                </c:pt>
                <c:pt idx="119">
                  <c:v>0.12426035502958577</c:v>
                </c:pt>
                <c:pt idx="120">
                  <c:v>0.77499999999999991</c:v>
                </c:pt>
                <c:pt idx="121">
                  <c:v>0.17647058823529416</c:v>
                </c:pt>
                <c:pt idx="122">
                  <c:v>0.28571428571428559</c:v>
                </c:pt>
                <c:pt idx="123">
                  <c:v>1</c:v>
                </c:pt>
                <c:pt idx="124">
                  <c:v>1.1363636363636362</c:v>
                </c:pt>
                <c:pt idx="125">
                  <c:v>0.36956521739130421</c:v>
                </c:pt>
                <c:pt idx="126">
                  <c:v>9.0579710144927494E-2</c:v>
                </c:pt>
                <c:pt idx="127">
                  <c:v>0.32743362831858414</c:v>
                </c:pt>
                <c:pt idx="128">
                  <c:v>1.9238329238329235</c:v>
                </c:pt>
                <c:pt idx="129">
                  <c:v>0.47058823529411753</c:v>
                </c:pt>
                <c:pt idx="130">
                  <c:v>0.44444444444444442</c:v>
                </c:pt>
                <c:pt idx="131">
                  <c:v>0.25839416058394149</c:v>
                </c:pt>
                <c:pt idx="132">
                  <c:v>0.40298507462686572</c:v>
                </c:pt>
                <c:pt idx="133">
                  <c:v>0.30097087378640786</c:v>
                </c:pt>
                <c:pt idx="134">
                  <c:v>0.10596026490066213</c:v>
                </c:pt>
                <c:pt idx="135">
                  <c:v>0.10270270270270276</c:v>
                </c:pt>
                <c:pt idx="136">
                  <c:v>0.1160714285714286</c:v>
                </c:pt>
                <c:pt idx="137">
                  <c:v>0.1734693877551019</c:v>
                </c:pt>
                <c:pt idx="138">
                  <c:v>2.2857142857142856</c:v>
                </c:pt>
                <c:pt idx="139">
                  <c:v>0.12337662337662336</c:v>
                </c:pt>
                <c:pt idx="140">
                  <c:v>0.21739130434782616</c:v>
                </c:pt>
                <c:pt idx="141">
                  <c:v>0.40697674418604657</c:v>
                </c:pt>
                <c:pt idx="142">
                  <c:v>0.12250000000000005</c:v>
                </c:pt>
                <c:pt idx="143">
                  <c:v>0.15294117647058836</c:v>
                </c:pt>
                <c:pt idx="144">
                  <c:v>7.5268817204301008E-2</c:v>
                </c:pt>
                <c:pt idx="145">
                  <c:v>0.12127272727272742</c:v>
                </c:pt>
                <c:pt idx="146">
                  <c:v>0.11999999999999988</c:v>
                </c:pt>
                <c:pt idx="147">
                  <c:v>0.31275720164609044</c:v>
                </c:pt>
                <c:pt idx="148">
                  <c:v>0.18333333333333335</c:v>
                </c:pt>
                <c:pt idx="149">
                  <c:v>0.21246458923512757</c:v>
                </c:pt>
                <c:pt idx="150">
                  <c:v>0.51291512915129145</c:v>
                </c:pt>
                <c:pt idx="151">
                  <c:v>13.815217391304348</c:v>
                </c:pt>
                <c:pt idx="152">
                  <c:v>0.46370967741935476</c:v>
                </c:pt>
                <c:pt idx="153">
                  <c:v>1.9753086419753041E-2</c:v>
                </c:pt>
                <c:pt idx="154">
                  <c:v>0</c:v>
                </c:pt>
                <c:pt idx="155">
                  <c:v>5.4545454545454453E-2</c:v>
                </c:pt>
                <c:pt idx="156">
                  <c:v>0.27483443708609268</c:v>
                </c:pt>
                <c:pt idx="157">
                  <c:v>0.1150442477876108</c:v>
                </c:pt>
                <c:pt idx="158">
                  <c:v>9.3023255813953654E-2</c:v>
                </c:pt>
                <c:pt idx="159">
                  <c:v>0.34545454545454546</c:v>
                </c:pt>
                <c:pt idx="160">
                  <c:v>0.48258706467661705</c:v>
                </c:pt>
                <c:pt idx="161">
                  <c:v>1.2318840579710146</c:v>
                </c:pt>
                <c:pt idx="162">
                  <c:v>0.14572864321608026</c:v>
                </c:pt>
                <c:pt idx="163">
                  <c:v>4.8780487804878092E-3</c:v>
                </c:pt>
                <c:pt idx="164">
                  <c:v>0</c:v>
                </c:pt>
                <c:pt idx="165">
                  <c:v>0.72321428571428559</c:v>
                </c:pt>
                <c:pt idx="166">
                  <c:v>1.0869565217391353E-2</c:v>
                </c:pt>
                <c:pt idx="167">
                  <c:v>2.1582733812949728E-2</c:v>
                </c:pt>
                <c:pt idx="168">
                  <c:v>1.1249999999999982E-2</c:v>
                </c:pt>
                <c:pt idx="169">
                  <c:v>0</c:v>
                </c:pt>
                <c:pt idx="170">
                  <c:v>0.17669172932330812</c:v>
                </c:pt>
                <c:pt idx="171">
                  <c:v>2</c:v>
                </c:pt>
                <c:pt idx="172">
                  <c:v>0.21072796934865901</c:v>
                </c:pt>
                <c:pt idx="173">
                  <c:v>0.55967450271247743</c:v>
                </c:pt>
                <c:pt idx="174">
                  <c:v>0.36931216931216926</c:v>
                </c:pt>
                <c:pt idx="175">
                  <c:v>0.76026634382566582</c:v>
                </c:pt>
                <c:pt idx="176">
                  <c:v>0.67571059431524549</c:v>
                </c:pt>
                <c:pt idx="177">
                  <c:v>2.6907563025210086</c:v>
                </c:pt>
                <c:pt idx="178">
                  <c:v>9.7625329815303363E-2</c:v>
                </c:pt>
                <c:pt idx="179">
                  <c:v>0.19024390243902456</c:v>
                </c:pt>
                <c:pt idx="180">
                  <c:v>0.66137566137566162</c:v>
                </c:pt>
                <c:pt idx="181">
                  <c:v>0.81777777777777771</c:v>
                </c:pt>
                <c:pt idx="182">
                  <c:v>0</c:v>
                </c:pt>
                <c:pt idx="183">
                  <c:v>0.1408839779005524</c:v>
                </c:pt>
                <c:pt idx="184">
                  <c:v>4.9019607843137081E-3</c:v>
                </c:pt>
                <c:pt idx="185">
                  <c:v>0.46415094339622653</c:v>
                </c:pt>
                <c:pt idx="186">
                  <c:v>0.2975000000000001</c:v>
                </c:pt>
                <c:pt idx="187">
                  <c:v>0.17153284671532831</c:v>
                </c:pt>
                <c:pt idx="188">
                  <c:v>1.3783783783783785</c:v>
                </c:pt>
                <c:pt idx="189">
                  <c:v>1.3661971830985919</c:v>
                </c:pt>
                <c:pt idx="190">
                  <c:v>3.125</c:v>
                </c:pt>
                <c:pt idx="191">
                  <c:v>1.1086956521739131</c:v>
                </c:pt>
                <c:pt idx="192">
                  <c:v>0</c:v>
                </c:pt>
                <c:pt idx="193">
                  <c:v>2.2833333333333332</c:v>
                </c:pt>
                <c:pt idx="194">
                  <c:v>0.66666666666666674</c:v>
                </c:pt>
                <c:pt idx="195">
                  <c:v>4.5555555555555554</c:v>
                </c:pt>
                <c:pt idx="196">
                  <c:v>0.14999999999999991</c:v>
                </c:pt>
                <c:pt idx="197">
                  <c:v>1.5384615384615388</c:v>
                </c:pt>
                <c:pt idx="198">
                  <c:v>1.8333333333333335</c:v>
                </c:pt>
                <c:pt idx="199">
                  <c:v>1.6315789473684212</c:v>
                </c:pt>
                <c:pt idx="200">
                  <c:v>0.53125</c:v>
                </c:pt>
                <c:pt idx="201">
                  <c:v>0.26301369863013702</c:v>
                </c:pt>
                <c:pt idx="202">
                  <c:v>0.97584541062801944</c:v>
                </c:pt>
                <c:pt idx="203">
                  <c:v>0.68981481481481466</c:v>
                </c:pt>
                <c:pt idx="204">
                  <c:v>0.63934426229508223</c:v>
                </c:pt>
                <c:pt idx="205">
                  <c:v>0.4137931034482758</c:v>
                </c:pt>
                <c:pt idx="206">
                  <c:v>0.82608695652173902</c:v>
                </c:pt>
                <c:pt idx="207">
                  <c:v>0.11127819548872186</c:v>
                </c:pt>
                <c:pt idx="208">
                  <c:v>1.1510791366906479</c:v>
                </c:pt>
                <c:pt idx="209">
                  <c:v>0.18500000000000005</c:v>
                </c:pt>
                <c:pt idx="210">
                  <c:v>15.111111111111111</c:v>
                </c:pt>
                <c:pt idx="211">
                  <c:v>8.6153846153846168</c:v>
                </c:pt>
                <c:pt idx="212">
                  <c:v>3.986522911051213</c:v>
                </c:pt>
                <c:pt idx="213">
                  <c:v>0.59375</c:v>
                </c:pt>
                <c:pt idx="214">
                  <c:v>4.4629629629629628</c:v>
                </c:pt>
                <c:pt idx="215">
                  <c:v>105.25</c:v>
                </c:pt>
                <c:pt idx="216">
                  <c:v>11.546558704453439</c:v>
                </c:pt>
                <c:pt idx="217">
                  <c:v>0.23595505617977519</c:v>
                </c:pt>
                <c:pt idx="218">
                  <c:v>0.679245283018868</c:v>
                </c:pt>
                <c:pt idx="219">
                  <c:v>0.15202797202797202</c:v>
                </c:pt>
                <c:pt idx="220">
                  <c:v>0.23123123123123102</c:v>
                </c:pt>
                <c:pt idx="221">
                  <c:v>0.5</c:v>
                </c:pt>
                <c:pt idx="222">
                  <c:v>3.4158878504672892</c:v>
                </c:pt>
                <c:pt idx="223">
                  <c:v>1.1862745098039214</c:v>
                </c:pt>
                <c:pt idx="224">
                  <c:v>1.3160919540229887</c:v>
                </c:pt>
                <c:pt idx="225">
                  <c:v>0.89922480620155043</c:v>
                </c:pt>
                <c:pt idx="226">
                  <c:v>1.7631578947368425</c:v>
                </c:pt>
                <c:pt idx="227">
                  <c:v>4.7002881844380404</c:v>
                </c:pt>
                <c:pt idx="228">
                  <c:v>0.49769585253456228</c:v>
                </c:pt>
                <c:pt idx="229">
                  <c:v>0.72</c:v>
                </c:pt>
                <c:pt idx="230">
                  <c:v>0.68831168831168821</c:v>
                </c:pt>
                <c:pt idx="231">
                  <c:v>1.5978835978835981</c:v>
                </c:pt>
                <c:pt idx="232">
                  <c:v>3.7222222222222223</c:v>
                </c:pt>
                <c:pt idx="233">
                  <c:v>0.9576719576719579</c:v>
                </c:pt>
                <c:pt idx="234">
                  <c:v>0.4049586776859504</c:v>
                </c:pt>
                <c:pt idx="235">
                  <c:v>0.97169811320754684</c:v>
                </c:pt>
                <c:pt idx="236">
                  <c:v>0.91089108910891081</c:v>
                </c:pt>
                <c:pt idx="237">
                  <c:v>6.584269662921348</c:v>
                </c:pt>
                <c:pt idx="238">
                  <c:v>1.6774193548387095</c:v>
                </c:pt>
                <c:pt idx="239">
                  <c:v>1.5347222222222223</c:v>
                </c:pt>
                <c:pt idx="240">
                  <c:v>0.68217054263565879</c:v>
                </c:pt>
                <c:pt idx="241">
                  <c:v>1.0112359550561796</c:v>
                </c:pt>
                <c:pt idx="242">
                  <c:v>1.5906735751295336</c:v>
                </c:pt>
                <c:pt idx="243">
                  <c:v>7.7601078167115904</c:v>
                </c:pt>
                <c:pt idx="244">
                  <c:v>2.1962616822429903</c:v>
                </c:pt>
                <c:pt idx="245">
                  <c:v>0.77894736842105261</c:v>
                </c:pt>
                <c:pt idx="246">
                  <c:v>11.980952380952381</c:v>
                </c:pt>
                <c:pt idx="247">
                  <c:v>0.393877551020408</c:v>
                </c:pt>
                <c:pt idx="248">
                  <c:v>1.9636363636363634</c:v>
                </c:pt>
                <c:pt idx="249">
                  <c:v>1.4308943089430897</c:v>
                </c:pt>
                <c:pt idx="250">
                  <c:v>5.8775510204081636</c:v>
                </c:pt>
                <c:pt idx="251">
                  <c:v>8.3117408906882595</c:v>
                </c:pt>
                <c:pt idx="252">
                  <c:v>5.6412213740458004</c:v>
                </c:pt>
                <c:pt idx="253">
                  <c:v>4.522388059701492</c:v>
                </c:pt>
                <c:pt idx="254">
                  <c:v>3.0437158469945356</c:v>
                </c:pt>
                <c:pt idx="255">
                  <c:v>0.43611111111111112</c:v>
                </c:pt>
                <c:pt idx="256">
                  <c:v>2.2653061224489797</c:v>
                </c:pt>
                <c:pt idx="257">
                  <c:v>0.16630669546436305</c:v>
                </c:pt>
                <c:pt idx="258">
                  <c:v>1.158311345646438</c:v>
                </c:pt>
                <c:pt idx="259">
                  <c:v>3.8675373134328357</c:v>
                </c:pt>
                <c:pt idx="260">
                  <c:v>0.96722408026755824</c:v>
                </c:pt>
                <c:pt idx="261">
                  <c:v>4.8391959798994968</c:v>
                </c:pt>
                <c:pt idx="262">
                  <c:v>0.41295546558704443</c:v>
                </c:pt>
                <c:pt idx="263">
                  <c:v>1.2592592592592591</c:v>
                </c:pt>
                <c:pt idx="264">
                  <c:v>3.9610389610389607</c:v>
                </c:pt>
                <c:pt idx="265">
                  <c:v>3.179347826086957</c:v>
                </c:pt>
                <c:pt idx="266">
                  <c:v>1535.9230769230771</c:v>
                </c:pt>
                <c:pt idx="267">
                  <c:v>2.2083333333333335</c:v>
                </c:pt>
                <c:pt idx="268">
                  <c:v>4.957243816254417</c:v>
                </c:pt>
                <c:pt idx="269">
                  <c:v>1.8192771084337349</c:v>
                </c:pt>
                <c:pt idx="270">
                  <c:v>1.2967032967032965</c:v>
                </c:pt>
                <c:pt idx="271">
                  <c:v>0.5490196078431373</c:v>
                </c:pt>
                <c:pt idx="272">
                  <c:v>1.552204176334107</c:v>
                </c:pt>
                <c:pt idx="273">
                  <c:v>2.1554054054054053</c:v>
                </c:pt>
                <c:pt idx="274">
                  <c:v>0.85813953488372108</c:v>
                </c:pt>
                <c:pt idx="275">
                  <c:v>1.7540983606557377</c:v>
                </c:pt>
                <c:pt idx="276">
                  <c:v>1.2021276595744679</c:v>
                </c:pt>
                <c:pt idx="277">
                  <c:v>1.7307692307692304</c:v>
                </c:pt>
                <c:pt idx="278">
                  <c:v>1.2576112412177989</c:v>
                </c:pt>
                <c:pt idx="279">
                  <c:v>3.1847133757961785</c:v>
                </c:pt>
                <c:pt idx="280">
                  <c:v>1.9661016949152543</c:v>
                </c:pt>
                <c:pt idx="281">
                  <c:v>10.627118644067798</c:v>
                </c:pt>
                <c:pt idx="282">
                  <c:v>1.8767123287671232</c:v>
                </c:pt>
                <c:pt idx="283">
                  <c:v>1.5906735751295336</c:v>
                </c:pt>
                <c:pt idx="284">
                  <c:v>26.051724137931036</c:v>
                </c:pt>
                <c:pt idx="285">
                  <c:v>57.817460317460316</c:v>
                </c:pt>
                <c:pt idx="286">
                  <c:v>5.4189189189189184</c:v>
                </c:pt>
                <c:pt idx="287">
                  <c:v>0.94945848375451281</c:v>
                </c:pt>
                <c:pt idx="288">
                  <c:v>11.773722627737225</c:v>
                </c:pt>
                <c:pt idx="289">
                  <c:v>0.35463258785942497</c:v>
                </c:pt>
                <c:pt idx="290">
                  <c:v>2.9740740740740739</c:v>
                </c:pt>
                <c:pt idx="291">
                  <c:v>39.361990950226243</c:v>
                </c:pt>
                <c:pt idx="292">
                  <c:v>0.95945945945945943</c:v>
                </c:pt>
                <c:pt idx="293">
                  <c:v>2.0627450980392159</c:v>
                </c:pt>
                <c:pt idx="294">
                  <c:v>1.1494252873563218</c:v>
                </c:pt>
                <c:pt idx="295">
                  <c:v>2.5542168674698797</c:v>
                </c:pt>
                <c:pt idx="296">
                  <c:v>3.9459459459459465</c:v>
                </c:pt>
                <c:pt idx="297">
                  <c:v>23.363636363636363</c:v>
                </c:pt>
                <c:pt idx="298">
                  <c:v>3.7767857142857135</c:v>
                </c:pt>
                <c:pt idx="299">
                  <c:v>26.897435897435898</c:v>
                </c:pt>
                <c:pt idx="300">
                  <c:v>4.2175438596491226</c:v>
                </c:pt>
                <c:pt idx="301">
                  <c:v>3.1516245487364625</c:v>
                </c:pt>
                <c:pt idx="302">
                  <c:v>1.943548387096774</c:v>
                </c:pt>
                <c:pt idx="303">
                  <c:v>2.2531400966183579</c:v>
                </c:pt>
                <c:pt idx="304">
                  <c:v>13.798850574712645</c:v>
                </c:pt>
                <c:pt idx="305">
                  <c:v>5.7407407407407405</c:v>
                </c:pt>
                <c:pt idx="306">
                  <c:v>0.5</c:v>
                </c:pt>
                <c:pt idx="307">
                  <c:v>177.1081081081081</c:v>
                </c:pt>
                <c:pt idx="308">
                  <c:v>10.212121212121211</c:v>
                </c:pt>
                <c:pt idx="309">
                  <c:v>0.33720930232558155</c:v>
                </c:pt>
                <c:pt idx="310">
                  <c:v>3.894327030033371</c:v>
                </c:pt>
                <c:pt idx="311">
                  <c:v>0.46627565982404717</c:v>
                </c:pt>
                <c:pt idx="312">
                  <c:v>186.64705882352942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18-454A-8E10-44CFF4D4C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623999"/>
        <c:axId val="1744647295"/>
      </c:scatterChart>
      <c:valAx>
        <c:axId val="174462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strike="noStrike" baseline="0"/>
                  <a:t>Normalized Slope 50 ma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708241480580928"/>
              <c:y val="0.920866693615522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108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47295"/>
        <c:crosses val="autoZero"/>
        <c:crossBetween val="midCat"/>
      </c:valAx>
      <c:valAx>
        <c:axId val="17446472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%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2399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Social</a:t>
            </a:r>
            <a:r>
              <a:rPr lang="en-US" baseline="0"/>
              <a:t> Sentiment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PeakVsDiff50Ma</c:v>
          </c:tx>
          <c:spPr>
            <a:ln w="25400" cap="rnd">
              <a:noFill/>
              <a:prstDash val="solid"/>
            </a:ln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</c:marker>
          <c:xVal>
            <c:numRef>
              <c:f>Stocks!$U$6:$U$318</c:f>
              <c:numCache>
                <c:formatCode>General</c:formatCode>
                <c:ptCount val="313"/>
                <c:pt idx="0">
                  <c:v>32</c:v>
                </c:pt>
                <c:pt idx="1">
                  <c:v>172</c:v>
                </c:pt>
                <c:pt idx="2">
                  <c:v>232</c:v>
                </c:pt>
                <c:pt idx="3">
                  <c:v>536</c:v>
                </c:pt>
                <c:pt idx="4">
                  <c:v>152</c:v>
                </c:pt>
                <c:pt idx="5">
                  <c:v>36</c:v>
                </c:pt>
                <c:pt idx="6">
                  <c:v>92</c:v>
                </c:pt>
                <c:pt idx="7">
                  <c:v>72</c:v>
                </c:pt>
                <c:pt idx="8">
                  <c:v>60</c:v>
                </c:pt>
                <c:pt idx="9">
                  <c:v>2004</c:v>
                </c:pt>
                <c:pt idx="10">
                  <c:v>72</c:v>
                </c:pt>
                <c:pt idx="11">
                  <c:v>716</c:v>
                </c:pt>
                <c:pt idx="12">
                  <c:v>84</c:v>
                </c:pt>
                <c:pt idx="13">
                  <c:v>352</c:v>
                </c:pt>
                <c:pt idx="14">
                  <c:v>152</c:v>
                </c:pt>
                <c:pt idx="15">
                  <c:v>60</c:v>
                </c:pt>
                <c:pt idx="16">
                  <c:v>236</c:v>
                </c:pt>
                <c:pt idx="17">
                  <c:v>140</c:v>
                </c:pt>
                <c:pt idx="18">
                  <c:v>60</c:v>
                </c:pt>
                <c:pt idx="19">
                  <c:v>84</c:v>
                </c:pt>
                <c:pt idx="20">
                  <c:v>356</c:v>
                </c:pt>
                <c:pt idx="21">
                  <c:v>316</c:v>
                </c:pt>
                <c:pt idx="22">
                  <c:v>40</c:v>
                </c:pt>
                <c:pt idx="23">
                  <c:v>0</c:v>
                </c:pt>
                <c:pt idx="24">
                  <c:v>168</c:v>
                </c:pt>
                <c:pt idx="25">
                  <c:v>188</c:v>
                </c:pt>
                <c:pt idx="26">
                  <c:v>48</c:v>
                </c:pt>
                <c:pt idx="27">
                  <c:v>44</c:v>
                </c:pt>
                <c:pt idx="28">
                  <c:v>292</c:v>
                </c:pt>
                <c:pt idx="29">
                  <c:v>1224</c:v>
                </c:pt>
                <c:pt idx="30">
                  <c:v>200</c:v>
                </c:pt>
                <c:pt idx="31">
                  <c:v>48</c:v>
                </c:pt>
                <c:pt idx="32">
                  <c:v>108</c:v>
                </c:pt>
                <c:pt idx="33">
                  <c:v>88</c:v>
                </c:pt>
                <c:pt idx="34">
                  <c:v>64</c:v>
                </c:pt>
                <c:pt idx="35">
                  <c:v>140</c:v>
                </c:pt>
                <c:pt idx="36">
                  <c:v>2004</c:v>
                </c:pt>
                <c:pt idx="37">
                  <c:v>240</c:v>
                </c:pt>
                <c:pt idx="38">
                  <c:v>16</c:v>
                </c:pt>
                <c:pt idx="39">
                  <c:v>180</c:v>
                </c:pt>
                <c:pt idx="40">
                  <c:v>92</c:v>
                </c:pt>
                <c:pt idx="41">
                  <c:v>628</c:v>
                </c:pt>
                <c:pt idx="42">
                  <c:v>464</c:v>
                </c:pt>
                <c:pt idx="43">
                  <c:v>632</c:v>
                </c:pt>
                <c:pt idx="44">
                  <c:v>156</c:v>
                </c:pt>
                <c:pt idx="45">
                  <c:v>416</c:v>
                </c:pt>
                <c:pt idx="46">
                  <c:v>148</c:v>
                </c:pt>
                <c:pt idx="47">
                  <c:v>192</c:v>
                </c:pt>
                <c:pt idx="48">
                  <c:v>732</c:v>
                </c:pt>
                <c:pt idx="49">
                  <c:v>32</c:v>
                </c:pt>
                <c:pt idx="50">
                  <c:v>220</c:v>
                </c:pt>
                <c:pt idx="51">
                  <c:v>208</c:v>
                </c:pt>
                <c:pt idx="52">
                  <c:v>2004</c:v>
                </c:pt>
                <c:pt idx="53">
                  <c:v>216</c:v>
                </c:pt>
                <c:pt idx="54">
                  <c:v>272</c:v>
                </c:pt>
                <c:pt idx="55">
                  <c:v>68</c:v>
                </c:pt>
                <c:pt idx="56">
                  <c:v>124</c:v>
                </c:pt>
                <c:pt idx="57">
                  <c:v>48</c:v>
                </c:pt>
                <c:pt idx="58">
                  <c:v>184</c:v>
                </c:pt>
                <c:pt idx="59">
                  <c:v>416</c:v>
                </c:pt>
                <c:pt idx="60">
                  <c:v>220</c:v>
                </c:pt>
                <c:pt idx="61">
                  <c:v>184</c:v>
                </c:pt>
                <c:pt idx="62">
                  <c:v>292</c:v>
                </c:pt>
                <c:pt idx="63">
                  <c:v>32</c:v>
                </c:pt>
                <c:pt idx="64">
                  <c:v>148</c:v>
                </c:pt>
                <c:pt idx="65">
                  <c:v>184</c:v>
                </c:pt>
                <c:pt idx="66">
                  <c:v>56</c:v>
                </c:pt>
                <c:pt idx="67">
                  <c:v>596</c:v>
                </c:pt>
                <c:pt idx="68">
                  <c:v>2004</c:v>
                </c:pt>
                <c:pt idx="69">
                  <c:v>104</c:v>
                </c:pt>
                <c:pt idx="70">
                  <c:v>76</c:v>
                </c:pt>
                <c:pt idx="71">
                  <c:v>296</c:v>
                </c:pt>
                <c:pt idx="72">
                  <c:v>2004</c:v>
                </c:pt>
                <c:pt idx="73">
                  <c:v>60</c:v>
                </c:pt>
                <c:pt idx="74">
                  <c:v>72</c:v>
                </c:pt>
                <c:pt idx="75">
                  <c:v>112</c:v>
                </c:pt>
                <c:pt idx="76">
                  <c:v>28</c:v>
                </c:pt>
                <c:pt idx="77">
                  <c:v>24</c:v>
                </c:pt>
                <c:pt idx="78">
                  <c:v>256</c:v>
                </c:pt>
                <c:pt idx="79">
                  <c:v>36</c:v>
                </c:pt>
                <c:pt idx="80">
                  <c:v>2004</c:v>
                </c:pt>
                <c:pt idx="81">
                  <c:v>2004</c:v>
                </c:pt>
                <c:pt idx="82">
                  <c:v>132</c:v>
                </c:pt>
                <c:pt idx="83">
                  <c:v>136</c:v>
                </c:pt>
                <c:pt idx="84">
                  <c:v>2004</c:v>
                </c:pt>
                <c:pt idx="85">
                  <c:v>2004</c:v>
                </c:pt>
                <c:pt idx="86">
                  <c:v>308</c:v>
                </c:pt>
                <c:pt idx="87">
                  <c:v>208</c:v>
                </c:pt>
                <c:pt idx="88">
                  <c:v>72</c:v>
                </c:pt>
                <c:pt idx="89">
                  <c:v>16</c:v>
                </c:pt>
                <c:pt idx="90">
                  <c:v>180</c:v>
                </c:pt>
                <c:pt idx="91">
                  <c:v>168</c:v>
                </c:pt>
                <c:pt idx="92">
                  <c:v>168</c:v>
                </c:pt>
                <c:pt idx="93">
                  <c:v>48</c:v>
                </c:pt>
                <c:pt idx="94">
                  <c:v>172</c:v>
                </c:pt>
                <c:pt idx="95">
                  <c:v>212</c:v>
                </c:pt>
                <c:pt idx="96">
                  <c:v>88</c:v>
                </c:pt>
                <c:pt idx="97">
                  <c:v>76</c:v>
                </c:pt>
                <c:pt idx="98">
                  <c:v>32</c:v>
                </c:pt>
                <c:pt idx="99">
                  <c:v>96</c:v>
                </c:pt>
                <c:pt idx="100">
                  <c:v>488</c:v>
                </c:pt>
                <c:pt idx="101">
                  <c:v>260</c:v>
                </c:pt>
                <c:pt idx="102">
                  <c:v>60</c:v>
                </c:pt>
                <c:pt idx="103">
                  <c:v>96</c:v>
                </c:pt>
                <c:pt idx="104">
                  <c:v>16</c:v>
                </c:pt>
                <c:pt idx="105">
                  <c:v>84</c:v>
                </c:pt>
                <c:pt idx="106">
                  <c:v>144</c:v>
                </c:pt>
                <c:pt idx="107">
                  <c:v>248</c:v>
                </c:pt>
                <c:pt idx="108">
                  <c:v>120</c:v>
                </c:pt>
                <c:pt idx="109">
                  <c:v>60</c:v>
                </c:pt>
                <c:pt idx="110">
                  <c:v>80</c:v>
                </c:pt>
                <c:pt idx="111">
                  <c:v>1152</c:v>
                </c:pt>
                <c:pt idx="112">
                  <c:v>16</c:v>
                </c:pt>
                <c:pt idx="113">
                  <c:v>40</c:v>
                </c:pt>
                <c:pt idx="114">
                  <c:v>64</c:v>
                </c:pt>
                <c:pt idx="115">
                  <c:v>0</c:v>
                </c:pt>
                <c:pt idx="116">
                  <c:v>20</c:v>
                </c:pt>
                <c:pt idx="117">
                  <c:v>124</c:v>
                </c:pt>
                <c:pt idx="118">
                  <c:v>84</c:v>
                </c:pt>
                <c:pt idx="119">
                  <c:v>168</c:v>
                </c:pt>
                <c:pt idx="120">
                  <c:v>748</c:v>
                </c:pt>
                <c:pt idx="121">
                  <c:v>292</c:v>
                </c:pt>
                <c:pt idx="122">
                  <c:v>152</c:v>
                </c:pt>
                <c:pt idx="123">
                  <c:v>160</c:v>
                </c:pt>
                <c:pt idx="124">
                  <c:v>996</c:v>
                </c:pt>
                <c:pt idx="125">
                  <c:v>176</c:v>
                </c:pt>
                <c:pt idx="126">
                  <c:v>284</c:v>
                </c:pt>
                <c:pt idx="127">
                  <c:v>36</c:v>
                </c:pt>
                <c:pt idx="128">
                  <c:v>500</c:v>
                </c:pt>
                <c:pt idx="129">
                  <c:v>44</c:v>
                </c:pt>
                <c:pt idx="130">
                  <c:v>88</c:v>
                </c:pt>
                <c:pt idx="131">
                  <c:v>732</c:v>
                </c:pt>
                <c:pt idx="132">
                  <c:v>2004</c:v>
                </c:pt>
                <c:pt idx="133">
                  <c:v>316</c:v>
                </c:pt>
                <c:pt idx="134">
                  <c:v>388</c:v>
                </c:pt>
                <c:pt idx="135">
                  <c:v>1700</c:v>
                </c:pt>
                <c:pt idx="136">
                  <c:v>512</c:v>
                </c:pt>
                <c:pt idx="137">
                  <c:v>332</c:v>
                </c:pt>
                <c:pt idx="138">
                  <c:v>584</c:v>
                </c:pt>
                <c:pt idx="139">
                  <c:v>96</c:v>
                </c:pt>
                <c:pt idx="140">
                  <c:v>300</c:v>
                </c:pt>
                <c:pt idx="141">
                  <c:v>368</c:v>
                </c:pt>
                <c:pt idx="142">
                  <c:v>72</c:v>
                </c:pt>
                <c:pt idx="143">
                  <c:v>24</c:v>
                </c:pt>
                <c:pt idx="144">
                  <c:v>36</c:v>
                </c:pt>
                <c:pt idx="145">
                  <c:v>84</c:v>
                </c:pt>
                <c:pt idx="146">
                  <c:v>48</c:v>
                </c:pt>
                <c:pt idx="147">
                  <c:v>564</c:v>
                </c:pt>
                <c:pt idx="148">
                  <c:v>368</c:v>
                </c:pt>
                <c:pt idx="149">
                  <c:v>336</c:v>
                </c:pt>
                <c:pt idx="150">
                  <c:v>2004</c:v>
                </c:pt>
                <c:pt idx="151">
                  <c:v>68</c:v>
                </c:pt>
                <c:pt idx="152">
                  <c:v>40</c:v>
                </c:pt>
                <c:pt idx="153">
                  <c:v>40</c:v>
                </c:pt>
                <c:pt idx="154">
                  <c:v>92</c:v>
                </c:pt>
                <c:pt idx="155">
                  <c:v>116</c:v>
                </c:pt>
                <c:pt idx="156">
                  <c:v>132</c:v>
                </c:pt>
                <c:pt idx="157">
                  <c:v>552</c:v>
                </c:pt>
                <c:pt idx="158">
                  <c:v>40</c:v>
                </c:pt>
                <c:pt idx="159">
                  <c:v>744</c:v>
                </c:pt>
                <c:pt idx="160">
                  <c:v>132</c:v>
                </c:pt>
                <c:pt idx="161">
                  <c:v>324</c:v>
                </c:pt>
                <c:pt idx="162">
                  <c:v>140</c:v>
                </c:pt>
                <c:pt idx="163">
                  <c:v>60</c:v>
                </c:pt>
                <c:pt idx="164">
                  <c:v>380</c:v>
                </c:pt>
                <c:pt idx="165">
                  <c:v>112</c:v>
                </c:pt>
                <c:pt idx="166">
                  <c:v>172</c:v>
                </c:pt>
                <c:pt idx="167">
                  <c:v>1384</c:v>
                </c:pt>
                <c:pt idx="168">
                  <c:v>216</c:v>
                </c:pt>
                <c:pt idx="169">
                  <c:v>1288</c:v>
                </c:pt>
                <c:pt idx="170">
                  <c:v>1676</c:v>
                </c:pt>
                <c:pt idx="171">
                  <c:v>860</c:v>
                </c:pt>
                <c:pt idx="172">
                  <c:v>1712</c:v>
                </c:pt>
                <c:pt idx="173">
                  <c:v>392</c:v>
                </c:pt>
                <c:pt idx="174">
                  <c:v>160</c:v>
                </c:pt>
                <c:pt idx="175">
                  <c:v>120</c:v>
                </c:pt>
                <c:pt idx="176">
                  <c:v>308</c:v>
                </c:pt>
                <c:pt idx="177">
                  <c:v>876</c:v>
                </c:pt>
                <c:pt idx="178">
                  <c:v>972</c:v>
                </c:pt>
                <c:pt idx="179">
                  <c:v>172</c:v>
                </c:pt>
                <c:pt idx="180">
                  <c:v>244</c:v>
                </c:pt>
                <c:pt idx="181">
                  <c:v>32</c:v>
                </c:pt>
                <c:pt idx="182">
                  <c:v>72</c:v>
                </c:pt>
                <c:pt idx="183">
                  <c:v>1048</c:v>
                </c:pt>
                <c:pt idx="184">
                  <c:v>124</c:v>
                </c:pt>
                <c:pt idx="185">
                  <c:v>148</c:v>
                </c:pt>
                <c:pt idx="186">
                  <c:v>168</c:v>
                </c:pt>
                <c:pt idx="187">
                  <c:v>616</c:v>
                </c:pt>
                <c:pt idx="188">
                  <c:v>2004</c:v>
                </c:pt>
                <c:pt idx="190">
                  <c:v>440</c:v>
                </c:pt>
                <c:pt idx="191">
                  <c:v>316</c:v>
                </c:pt>
                <c:pt idx="193">
                  <c:v>92</c:v>
                </c:pt>
                <c:pt idx="194">
                  <c:v>104</c:v>
                </c:pt>
                <c:pt idx="195">
                  <c:v>260</c:v>
                </c:pt>
                <c:pt idx="196">
                  <c:v>60</c:v>
                </c:pt>
                <c:pt idx="197">
                  <c:v>284</c:v>
                </c:pt>
                <c:pt idx="198">
                  <c:v>88</c:v>
                </c:pt>
                <c:pt idx="199">
                  <c:v>388</c:v>
                </c:pt>
                <c:pt idx="200">
                  <c:v>64</c:v>
                </c:pt>
                <c:pt idx="201">
                  <c:v>1176</c:v>
                </c:pt>
                <c:pt idx="202">
                  <c:v>280</c:v>
                </c:pt>
                <c:pt idx="203">
                  <c:v>728</c:v>
                </c:pt>
                <c:pt idx="204">
                  <c:v>2004</c:v>
                </c:pt>
                <c:pt idx="205">
                  <c:v>544</c:v>
                </c:pt>
                <c:pt idx="206">
                  <c:v>248</c:v>
                </c:pt>
                <c:pt idx="207">
                  <c:v>532</c:v>
                </c:pt>
                <c:pt idx="208">
                  <c:v>188</c:v>
                </c:pt>
                <c:pt idx="209">
                  <c:v>684</c:v>
                </c:pt>
                <c:pt idx="210">
                  <c:v>32</c:v>
                </c:pt>
                <c:pt idx="211">
                  <c:v>36</c:v>
                </c:pt>
                <c:pt idx="212">
                  <c:v>32</c:v>
                </c:pt>
                <c:pt idx="213">
                  <c:v>324</c:v>
                </c:pt>
                <c:pt idx="214">
                  <c:v>408</c:v>
                </c:pt>
                <c:pt idx="215">
                  <c:v>476</c:v>
                </c:pt>
                <c:pt idx="216">
                  <c:v>292</c:v>
                </c:pt>
                <c:pt idx="217">
                  <c:v>4</c:v>
                </c:pt>
                <c:pt idx="218">
                  <c:v>784</c:v>
                </c:pt>
                <c:pt idx="219">
                  <c:v>160</c:v>
                </c:pt>
                <c:pt idx="220">
                  <c:v>544</c:v>
                </c:pt>
                <c:pt idx="221">
                  <c:v>340</c:v>
                </c:pt>
                <c:pt idx="222">
                  <c:v>0</c:v>
                </c:pt>
                <c:pt idx="223">
                  <c:v>280</c:v>
                </c:pt>
                <c:pt idx="224">
                  <c:v>276</c:v>
                </c:pt>
                <c:pt idx="225">
                  <c:v>232</c:v>
                </c:pt>
                <c:pt idx="226">
                  <c:v>640</c:v>
                </c:pt>
                <c:pt idx="227">
                  <c:v>12</c:v>
                </c:pt>
                <c:pt idx="228">
                  <c:v>76</c:v>
                </c:pt>
                <c:pt idx="229">
                  <c:v>80</c:v>
                </c:pt>
                <c:pt idx="230">
                  <c:v>64</c:v>
                </c:pt>
                <c:pt idx="231">
                  <c:v>24</c:v>
                </c:pt>
                <c:pt idx="232">
                  <c:v>460</c:v>
                </c:pt>
                <c:pt idx="233">
                  <c:v>88</c:v>
                </c:pt>
                <c:pt idx="234">
                  <c:v>28</c:v>
                </c:pt>
                <c:pt idx="235">
                  <c:v>180</c:v>
                </c:pt>
                <c:pt idx="236">
                  <c:v>204</c:v>
                </c:pt>
                <c:pt idx="237">
                  <c:v>1156</c:v>
                </c:pt>
                <c:pt idx="238">
                  <c:v>112</c:v>
                </c:pt>
                <c:pt idx="239">
                  <c:v>2004</c:v>
                </c:pt>
                <c:pt idx="240">
                  <c:v>152</c:v>
                </c:pt>
                <c:pt idx="241">
                  <c:v>104</c:v>
                </c:pt>
                <c:pt idx="242">
                  <c:v>52</c:v>
                </c:pt>
                <c:pt idx="243">
                  <c:v>52</c:v>
                </c:pt>
                <c:pt idx="244">
                  <c:v>20</c:v>
                </c:pt>
                <c:pt idx="245">
                  <c:v>120</c:v>
                </c:pt>
                <c:pt idx="246">
                  <c:v>136</c:v>
                </c:pt>
                <c:pt idx="247">
                  <c:v>100</c:v>
                </c:pt>
                <c:pt idx="248">
                  <c:v>140</c:v>
                </c:pt>
                <c:pt idx="249">
                  <c:v>68</c:v>
                </c:pt>
                <c:pt idx="250">
                  <c:v>232</c:v>
                </c:pt>
                <c:pt idx="251">
                  <c:v>0</c:v>
                </c:pt>
                <c:pt idx="252">
                  <c:v>116</c:v>
                </c:pt>
                <c:pt idx="253">
                  <c:v>128</c:v>
                </c:pt>
                <c:pt idx="254">
                  <c:v>156</c:v>
                </c:pt>
                <c:pt idx="255">
                  <c:v>36</c:v>
                </c:pt>
                <c:pt idx="256">
                  <c:v>164</c:v>
                </c:pt>
                <c:pt idx="257">
                  <c:v>108</c:v>
                </c:pt>
                <c:pt idx="258">
                  <c:v>448</c:v>
                </c:pt>
                <c:pt idx="259">
                  <c:v>264</c:v>
                </c:pt>
                <c:pt idx="260">
                  <c:v>408</c:v>
                </c:pt>
                <c:pt idx="261">
                  <c:v>192</c:v>
                </c:pt>
                <c:pt idx="262">
                  <c:v>224</c:v>
                </c:pt>
                <c:pt idx="263">
                  <c:v>208</c:v>
                </c:pt>
                <c:pt idx="264">
                  <c:v>1036</c:v>
                </c:pt>
                <c:pt idx="265">
                  <c:v>232</c:v>
                </c:pt>
                <c:pt idx="266">
                  <c:v>164</c:v>
                </c:pt>
                <c:pt idx="267">
                  <c:v>24</c:v>
                </c:pt>
                <c:pt idx="268">
                  <c:v>8</c:v>
                </c:pt>
                <c:pt idx="269">
                  <c:v>100</c:v>
                </c:pt>
                <c:pt idx="270">
                  <c:v>52</c:v>
                </c:pt>
                <c:pt idx="271">
                  <c:v>184</c:v>
                </c:pt>
                <c:pt idx="272">
                  <c:v>12</c:v>
                </c:pt>
                <c:pt idx="273">
                  <c:v>112</c:v>
                </c:pt>
                <c:pt idx="274">
                  <c:v>680</c:v>
                </c:pt>
                <c:pt idx="275">
                  <c:v>96</c:v>
                </c:pt>
                <c:pt idx="276">
                  <c:v>164</c:v>
                </c:pt>
                <c:pt idx="277">
                  <c:v>72</c:v>
                </c:pt>
                <c:pt idx="278">
                  <c:v>32</c:v>
                </c:pt>
                <c:pt idx="279">
                  <c:v>1548</c:v>
                </c:pt>
                <c:pt idx="280">
                  <c:v>24</c:v>
                </c:pt>
                <c:pt idx="281">
                  <c:v>128</c:v>
                </c:pt>
                <c:pt idx="282">
                  <c:v>76</c:v>
                </c:pt>
                <c:pt idx="283">
                  <c:v>0</c:v>
                </c:pt>
                <c:pt idx="284">
                  <c:v>1212</c:v>
                </c:pt>
                <c:pt idx="285">
                  <c:v>32</c:v>
                </c:pt>
                <c:pt idx="286">
                  <c:v>1388</c:v>
                </c:pt>
                <c:pt idx="287">
                  <c:v>0</c:v>
                </c:pt>
                <c:pt idx="288">
                  <c:v>276</c:v>
                </c:pt>
                <c:pt idx="289">
                  <c:v>88</c:v>
                </c:pt>
                <c:pt idx="290">
                  <c:v>208</c:v>
                </c:pt>
                <c:pt idx="291">
                  <c:v>676</c:v>
                </c:pt>
                <c:pt idx="292">
                  <c:v>1176</c:v>
                </c:pt>
                <c:pt idx="293">
                  <c:v>440</c:v>
                </c:pt>
                <c:pt idx="294">
                  <c:v>464</c:v>
                </c:pt>
                <c:pt idx="295">
                  <c:v>236</c:v>
                </c:pt>
                <c:pt idx="296">
                  <c:v>604</c:v>
                </c:pt>
                <c:pt idx="297">
                  <c:v>20</c:v>
                </c:pt>
                <c:pt idx="298">
                  <c:v>1652</c:v>
                </c:pt>
                <c:pt idx="299">
                  <c:v>776</c:v>
                </c:pt>
                <c:pt idx="300">
                  <c:v>236</c:v>
                </c:pt>
                <c:pt idx="301">
                  <c:v>2004</c:v>
                </c:pt>
                <c:pt idx="302">
                  <c:v>156</c:v>
                </c:pt>
                <c:pt idx="303">
                  <c:v>428</c:v>
                </c:pt>
                <c:pt idx="304">
                  <c:v>204</c:v>
                </c:pt>
                <c:pt idx="305">
                  <c:v>2004</c:v>
                </c:pt>
                <c:pt idx="306">
                  <c:v>2004</c:v>
                </c:pt>
                <c:pt idx="307">
                  <c:v>884</c:v>
                </c:pt>
                <c:pt idx="308">
                  <c:v>348</c:v>
                </c:pt>
                <c:pt idx="309">
                  <c:v>1604</c:v>
                </c:pt>
                <c:pt idx="310">
                  <c:v>2004</c:v>
                </c:pt>
                <c:pt idx="311">
                  <c:v>2004</c:v>
                </c:pt>
                <c:pt idx="312">
                  <c:v>12</c:v>
                </c:pt>
              </c:numCache>
            </c:numRef>
          </c:xVal>
          <c:yVal>
            <c:numRef>
              <c:f>Stocks!$L$6:$L$318</c:f>
              <c:numCache>
                <c:formatCode>0.00%</c:formatCode>
                <c:ptCount val="313"/>
                <c:pt idx="0">
                  <c:v>0.10476190476190461</c:v>
                </c:pt>
                <c:pt idx="1">
                  <c:v>2.3041474654378113E-2</c:v>
                </c:pt>
                <c:pt idx="2">
                  <c:v>4.9342105263157965E-2</c:v>
                </c:pt>
                <c:pt idx="3">
                  <c:v>0.74725274725274726</c:v>
                </c:pt>
                <c:pt idx="4">
                  <c:v>3.01111111111112E-2</c:v>
                </c:pt>
                <c:pt idx="5">
                  <c:v>8.7499999999999911E-2</c:v>
                </c:pt>
                <c:pt idx="6">
                  <c:v>6.3780487804877994E-2</c:v>
                </c:pt>
                <c:pt idx="7">
                  <c:v>1.8774559743850894E-2</c:v>
                </c:pt>
                <c:pt idx="8">
                  <c:v>0.64655172413793105</c:v>
                </c:pt>
                <c:pt idx="9">
                  <c:v>7.6335877862594437E-3</c:v>
                </c:pt>
                <c:pt idx="10">
                  <c:v>6.3829787234042534E-2</c:v>
                </c:pt>
                <c:pt idx="11">
                  <c:v>0.29281767955801086</c:v>
                </c:pt>
                <c:pt idx="12">
                  <c:v>0.16030534351145032</c:v>
                </c:pt>
                <c:pt idx="13">
                  <c:v>0.27803738317756999</c:v>
                </c:pt>
                <c:pt idx="14">
                  <c:v>0.51063829787234027</c:v>
                </c:pt>
                <c:pt idx="15">
                  <c:v>0.15044247787610621</c:v>
                </c:pt>
                <c:pt idx="16">
                  <c:v>0.19999999999999996</c:v>
                </c:pt>
                <c:pt idx="17">
                  <c:v>0.15025906735751304</c:v>
                </c:pt>
                <c:pt idx="18">
                  <c:v>0.16550522648083632</c:v>
                </c:pt>
                <c:pt idx="19">
                  <c:v>0.15835140997830788</c:v>
                </c:pt>
                <c:pt idx="20">
                  <c:v>0.37790697674418605</c:v>
                </c:pt>
                <c:pt idx="21">
                  <c:v>0.17380352644836261</c:v>
                </c:pt>
                <c:pt idx="22">
                  <c:v>0.14563758389261738</c:v>
                </c:pt>
                <c:pt idx="23">
                  <c:v>0.88888888888888884</c:v>
                </c:pt>
                <c:pt idx="24">
                  <c:v>0.26791866028708133</c:v>
                </c:pt>
                <c:pt idx="25">
                  <c:v>2.3923444976076791E-2</c:v>
                </c:pt>
                <c:pt idx="26">
                  <c:v>1.9148936170212627E-2</c:v>
                </c:pt>
                <c:pt idx="27">
                  <c:v>0.18090909090909091</c:v>
                </c:pt>
                <c:pt idx="28">
                  <c:v>0.1333333333333333</c:v>
                </c:pt>
                <c:pt idx="29">
                  <c:v>0.23762376237623761</c:v>
                </c:pt>
                <c:pt idx="30">
                  <c:v>0.42245989304812825</c:v>
                </c:pt>
                <c:pt idx="31">
                  <c:v>0.26818181818181808</c:v>
                </c:pt>
                <c:pt idx="32">
                  <c:v>0.22135416666666674</c:v>
                </c:pt>
                <c:pt idx="33">
                  <c:v>0.13654618473895574</c:v>
                </c:pt>
                <c:pt idx="34">
                  <c:v>0.26249999999999996</c:v>
                </c:pt>
                <c:pt idx="35">
                  <c:v>5.2173913043478404E-2</c:v>
                </c:pt>
                <c:pt idx="36">
                  <c:v>0.23031496062992129</c:v>
                </c:pt>
                <c:pt idx="37">
                  <c:v>2.5404157043879882E-2</c:v>
                </c:pt>
                <c:pt idx="38">
                  <c:v>0.60194174757281571</c:v>
                </c:pt>
                <c:pt idx="39">
                  <c:v>0.58723404255319145</c:v>
                </c:pt>
                <c:pt idx="40">
                  <c:v>0.25161073825503366</c:v>
                </c:pt>
                <c:pt idx="41">
                  <c:v>0.16891891891891886</c:v>
                </c:pt>
                <c:pt idx="42">
                  <c:v>9.8901098901098994E-2</c:v>
                </c:pt>
                <c:pt idx="43">
                  <c:v>2.6824324324324325</c:v>
                </c:pt>
                <c:pt idx="44">
                  <c:v>0.76470588235294135</c:v>
                </c:pt>
                <c:pt idx="45">
                  <c:v>1.3289036544850585E-2</c:v>
                </c:pt>
                <c:pt idx="46">
                  <c:v>1.0472103004291844</c:v>
                </c:pt>
                <c:pt idx="47">
                  <c:v>0.60919540229885039</c:v>
                </c:pt>
                <c:pt idx="48">
                  <c:v>0.16363636363636358</c:v>
                </c:pt>
                <c:pt idx="49">
                  <c:v>0.70434306569343064</c:v>
                </c:pt>
                <c:pt idx="50">
                  <c:v>1.1710526315789473</c:v>
                </c:pt>
                <c:pt idx="51">
                  <c:v>2.4691358024691468E-2</c:v>
                </c:pt>
                <c:pt idx="52">
                  <c:v>8.0873786407766985</c:v>
                </c:pt>
                <c:pt idx="53">
                  <c:v>9.3301435406698774E-2</c:v>
                </c:pt>
                <c:pt idx="54">
                  <c:v>0.38797814207650272</c:v>
                </c:pt>
                <c:pt idx="55">
                  <c:v>9.0163934426229719E-2</c:v>
                </c:pt>
                <c:pt idx="56">
                  <c:v>5.2837573385518422E-2</c:v>
                </c:pt>
                <c:pt idx="57">
                  <c:v>0.2222222222222221</c:v>
                </c:pt>
                <c:pt idx="58">
                  <c:v>1.754385964912264E-2</c:v>
                </c:pt>
                <c:pt idx="59">
                  <c:v>0</c:v>
                </c:pt>
                <c:pt idx="60">
                  <c:v>6.4628099173553721E-2</c:v>
                </c:pt>
                <c:pt idx="61">
                  <c:v>0.26400000000000001</c:v>
                </c:pt>
                <c:pt idx="62">
                  <c:v>0</c:v>
                </c:pt>
                <c:pt idx="63">
                  <c:v>0</c:v>
                </c:pt>
                <c:pt idx="64">
                  <c:v>0.41032608695652173</c:v>
                </c:pt>
                <c:pt idx="65">
                  <c:v>9.8265895953757232E-2</c:v>
                </c:pt>
                <c:pt idx="66">
                  <c:v>0.24657534246575352</c:v>
                </c:pt>
                <c:pt idx="67">
                  <c:v>0.58634538152610438</c:v>
                </c:pt>
                <c:pt idx="68">
                  <c:v>0.31525423728813551</c:v>
                </c:pt>
                <c:pt idx="69">
                  <c:v>0.88461538461538458</c:v>
                </c:pt>
                <c:pt idx="70">
                  <c:v>0.51785714285714257</c:v>
                </c:pt>
                <c:pt idx="71">
                  <c:v>1.7304964539007095</c:v>
                </c:pt>
                <c:pt idx="72">
                  <c:v>0.75428571428571423</c:v>
                </c:pt>
                <c:pt idx="73">
                  <c:v>11.380191693290735</c:v>
                </c:pt>
                <c:pt idx="74">
                  <c:v>1.3763157894736842</c:v>
                </c:pt>
                <c:pt idx="75">
                  <c:v>0.34928229665071764</c:v>
                </c:pt>
                <c:pt idx="76">
                  <c:v>0.13140604467805517</c:v>
                </c:pt>
                <c:pt idx="77">
                  <c:v>5.4545454545454675E-2</c:v>
                </c:pt>
                <c:pt idx="78">
                  <c:v>0.29875518672199153</c:v>
                </c:pt>
                <c:pt idx="79">
                  <c:v>0.17753623188405809</c:v>
                </c:pt>
                <c:pt idx="80">
                  <c:v>0.33377823408624208</c:v>
                </c:pt>
                <c:pt idx="81">
                  <c:v>0.65297450424929182</c:v>
                </c:pt>
                <c:pt idx="82">
                  <c:v>0.33725490196078445</c:v>
                </c:pt>
                <c:pt idx="83">
                  <c:v>0.3348623853211008</c:v>
                </c:pt>
                <c:pt idx="84">
                  <c:v>0.5095628415300546</c:v>
                </c:pt>
                <c:pt idx="85">
                  <c:v>1.5000000000000004</c:v>
                </c:pt>
                <c:pt idx="86">
                  <c:v>0.11111111111111116</c:v>
                </c:pt>
                <c:pt idx="87">
                  <c:v>1.5</c:v>
                </c:pt>
                <c:pt idx="88">
                  <c:v>0.66666666666666674</c:v>
                </c:pt>
                <c:pt idx="89">
                  <c:v>0.35511363636363624</c:v>
                </c:pt>
                <c:pt idx="90">
                  <c:v>0.14285714285714302</c:v>
                </c:pt>
                <c:pt idx="91">
                  <c:v>0.8333333333333337</c:v>
                </c:pt>
                <c:pt idx="92">
                  <c:v>0.14285714285714302</c:v>
                </c:pt>
                <c:pt idx="93">
                  <c:v>1.25</c:v>
                </c:pt>
                <c:pt idx="94">
                  <c:v>0.60000000000000009</c:v>
                </c:pt>
                <c:pt idx="95">
                  <c:v>0.90909090909090895</c:v>
                </c:pt>
                <c:pt idx="96">
                  <c:v>3.416666666666667</c:v>
                </c:pt>
                <c:pt idx="97">
                  <c:v>0.36363636363636354</c:v>
                </c:pt>
                <c:pt idx="98">
                  <c:v>1.6521739130434785</c:v>
                </c:pt>
                <c:pt idx="99">
                  <c:v>0.47368421052631571</c:v>
                </c:pt>
                <c:pt idx="100">
                  <c:v>0.25925925925925908</c:v>
                </c:pt>
                <c:pt idx="101">
                  <c:v>4.1640340218712026</c:v>
                </c:pt>
                <c:pt idx="102">
                  <c:v>1.8888888888888888</c:v>
                </c:pt>
                <c:pt idx="103">
                  <c:v>1.6175438596491225</c:v>
                </c:pt>
                <c:pt idx="104">
                  <c:v>0.18561872909698995</c:v>
                </c:pt>
                <c:pt idx="105">
                  <c:v>0.26434782608695651</c:v>
                </c:pt>
                <c:pt idx="106">
                  <c:v>0.78571428571428603</c:v>
                </c:pt>
                <c:pt idx="107">
                  <c:v>1.6875</c:v>
                </c:pt>
                <c:pt idx="108">
                  <c:v>0.41666666666666674</c:v>
                </c:pt>
                <c:pt idx="109">
                  <c:v>1.3611111111111112</c:v>
                </c:pt>
                <c:pt idx="110">
                  <c:v>1.3834586466165413</c:v>
                </c:pt>
                <c:pt idx="111">
                  <c:v>0.34545454545454546</c:v>
                </c:pt>
                <c:pt idx="112">
                  <c:v>0.28779342723004686</c:v>
                </c:pt>
                <c:pt idx="113">
                  <c:v>0.17064516129032259</c:v>
                </c:pt>
                <c:pt idx="114">
                  <c:v>0.41564705882352948</c:v>
                </c:pt>
                <c:pt idx="115">
                  <c:v>0.35999999999999988</c:v>
                </c:pt>
                <c:pt idx="116">
                  <c:v>0.42004773269689721</c:v>
                </c:pt>
                <c:pt idx="117">
                  <c:v>0.52173913043478271</c:v>
                </c:pt>
                <c:pt idx="118">
                  <c:v>0.18518518518518512</c:v>
                </c:pt>
                <c:pt idx="119">
                  <c:v>0.12426035502958577</c:v>
                </c:pt>
                <c:pt idx="120">
                  <c:v>0.77499999999999991</c:v>
                </c:pt>
                <c:pt idx="121">
                  <c:v>0.17647058823529416</c:v>
                </c:pt>
                <c:pt idx="122">
                  <c:v>0.28571428571428559</c:v>
                </c:pt>
                <c:pt idx="123">
                  <c:v>1</c:v>
                </c:pt>
                <c:pt idx="124">
                  <c:v>1.1363636363636362</c:v>
                </c:pt>
                <c:pt idx="125">
                  <c:v>0.36956521739130421</c:v>
                </c:pt>
                <c:pt idx="126">
                  <c:v>9.0579710144927494E-2</c:v>
                </c:pt>
                <c:pt idx="127">
                  <c:v>0.32743362831858414</c:v>
                </c:pt>
                <c:pt idx="128">
                  <c:v>1.9238329238329235</c:v>
                </c:pt>
                <c:pt idx="129">
                  <c:v>0.47058823529411753</c:v>
                </c:pt>
                <c:pt idx="130">
                  <c:v>0.44444444444444442</c:v>
                </c:pt>
                <c:pt idx="131">
                  <c:v>0.25839416058394149</c:v>
                </c:pt>
                <c:pt idx="132">
                  <c:v>0.40298507462686572</c:v>
                </c:pt>
                <c:pt idx="133">
                  <c:v>0.30097087378640786</c:v>
                </c:pt>
                <c:pt idx="134">
                  <c:v>0.10596026490066213</c:v>
                </c:pt>
                <c:pt idx="135">
                  <c:v>0.10270270270270276</c:v>
                </c:pt>
                <c:pt idx="136">
                  <c:v>0.1160714285714286</c:v>
                </c:pt>
                <c:pt idx="137">
                  <c:v>0.1734693877551019</c:v>
                </c:pt>
                <c:pt idx="138">
                  <c:v>2.2857142857142856</c:v>
                </c:pt>
                <c:pt idx="139">
                  <c:v>0.12337662337662336</c:v>
                </c:pt>
                <c:pt idx="140">
                  <c:v>0.21739130434782616</c:v>
                </c:pt>
                <c:pt idx="141">
                  <c:v>0.40697674418604657</c:v>
                </c:pt>
                <c:pt idx="142">
                  <c:v>0.12250000000000005</c:v>
                </c:pt>
                <c:pt idx="143">
                  <c:v>0.15294117647058836</c:v>
                </c:pt>
                <c:pt idx="144">
                  <c:v>7.5268817204301008E-2</c:v>
                </c:pt>
                <c:pt idx="145">
                  <c:v>0.12127272727272742</c:v>
                </c:pt>
                <c:pt idx="146">
                  <c:v>0.11999999999999988</c:v>
                </c:pt>
                <c:pt idx="147">
                  <c:v>0.31275720164609044</c:v>
                </c:pt>
                <c:pt idx="148">
                  <c:v>0.18333333333333335</c:v>
                </c:pt>
                <c:pt idx="149">
                  <c:v>0.21246458923512757</c:v>
                </c:pt>
                <c:pt idx="150">
                  <c:v>0.51291512915129145</c:v>
                </c:pt>
                <c:pt idx="151">
                  <c:v>13.815217391304348</c:v>
                </c:pt>
                <c:pt idx="152">
                  <c:v>0.46370967741935476</c:v>
                </c:pt>
                <c:pt idx="153">
                  <c:v>1.9753086419753041E-2</c:v>
                </c:pt>
                <c:pt idx="154">
                  <c:v>0</c:v>
                </c:pt>
                <c:pt idx="155">
                  <c:v>5.4545454545454453E-2</c:v>
                </c:pt>
                <c:pt idx="156">
                  <c:v>0.27483443708609268</c:v>
                </c:pt>
                <c:pt idx="157">
                  <c:v>0.1150442477876108</c:v>
                </c:pt>
                <c:pt idx="158">
                  <c:v>9.3023255813953654E-2</c:v>
                </c:pt>
                <c:pt idx="159">
                  <c:v>0.34545454545454546</c:v>
                </c:pt>
                <c:pt idx="160">
                  <c:v>0.48258706467661705</c:v>
                </c:pt>
                <c:pt idx="161">
                  <c:v>1.2318840579710146</c:v>
                </c:pt>
                <c:pt idx="162">
                  <c:v>0.14572864321608026</c:v>
                </c:pt>
                <c:pt idx="163">
                  <c:v>4.8780487804878092E-3</c:v>
                </c:pt>
                <c:pt idx="164">
                  <c:v>0</c:v>
                </c:pt>
                <c:pt idx="165">
                  <c:v>0.72321428571428559</c:v>
                </c:pt>
                <c:pt idx="166">
                  <c:v>1.0869565217391353E-2</c:v>
                </c:pt>
                <c:pt idx="167">
                  <c:v>2.1582733812949728E-2</c:v>
                </c:pt>
                <c:pt idx="168">
                  <c:v>1.1249999999999982E-2</c:v>
                </c:pt>
                <c:pt idx="169">
                  <c:v>0</c:v>
                </c:pt>
                <c:pt idx="170">
                  <c:v>0.17669172932330812</c:v>
                </c:pt>
                <c:pt idx="171">
                  <c:v>2</c:v>
                </c:pt>
                <c:pt idx="172">
                  <c:v>0.21072796934865901</c:v>
                </c:pt>
                <c:pt idx="173">
                  <c:v>0.55967450271247743</c:v>
                </c:pt>
                <c:pt idx="174">
                  <c:v>0.36931216931216926</c:v>
                </c:pt>
                <c:pt idx="175">
                  <c:v>0.76026634382566582</c:v>
                </c:pt>
                <c:pt idx="176">
                  <c:v>0.67571059431524549</c:v>
                </c:pt>
                <c:pt idx="177">
                  <c:v>2.6907563025210086</c:v>
                </c:pt>
                <c:pt idx="178">
                  <c:v>9.7625329815303363E-2</c:v>
                </c:pt>
                <c:pt idx="179">
                  <c:v>0.19024390243902456</c:v>
                </c:pt>
                <c:pt idx="180">
                  <c:v>0.66137566137566162</c:v>
                </c:pt>
                <c:pt idx="181">
                  <c:v>0.81777777777777771</c:v>
                </c:pt>
                <c:pt idx="182">
                  <c:v>0</c:v>
                </c:pt>
                <c:pt idx="183">
                  <c:v>0.1408839779005524</c:v>
                </c:pt>
                <c:pt idx="184">
                  <c:v>4.9019607843137081E-3</c:v>
                </c:pt>
                <c:pt idx="185">
                  <c:v>0.46415094339622653</c:v>
                </c:pt>
                <c:pt idx="186">
                  <c:v>0.2975000000000001</c:v>
                </c:pt>
                <c:pt idx="187">
                  <c:v>0.17153284671532831</c:v>
                </c:pt>
                <c:pt idx="188">
                  <c:v>1.3783783783783785</c:v>
                </c:pt>
                <c:pt idx="189">
                  <c:v>1.3661971830985919</c:v>
                </c:pt>
                <c:pt idx="190">
                  <c:v>3.125</c:v>
                </c:pt>
                <c:pt idx="191">
                  <c:v>1.1086956521739131</c:v>
                </c:pt>
                <c:pt idx="192">
                  <c:v>0</c:v>
                </c:pt>
                <c:pt idx="193">
                  <c:v>2.2833333333333332</c:v>
                </c:pt>
                <c:pt idx="194">
                  <c:v>0.66666666666666674</c:v>
                </c:pt>
                <c:pt idx="195">
                  <c:v>4.5555555555555554</c:v>
                </c:pt>
                <c:pt idx="196">
                  <c:v>0.14999999999999991</c:v>
                </c:pt>
                <c:pt idx="197">
                  <c:v>1.5384615384615388</c:v>
                </c:pt>
                <c:pt idx="198">
                  <c:v>1.8333333333333335</c:v>
                </c:pt>
                <c:pt idx="199">
                  <c:v>1.6315789473684212</c:v>
                </c:pt>
                <c:pt idx="200">
                  <c:v>0.53125</c:v>
                </c:pt>
                <c:pt idx="201">
                  <c:v>0.26301369863013702</c:v>
                </c:pt>
                <c:pt idx="202">
                  <c:v>0.97584541062801944</c:v>
                </c:pt>
                <c:pt idx="203">
                  <c:v>0.68981481481481466</c:v>
                </c:pt>
                <c:pt idx="204">
                  <c:v>0.63934426229508223</c:v>
                </c:pt>
                <c:pt idx="205">
                  <c:v>0.4137931034482758</c:v>
                </c:pt>
                <c:pt idx="206">
                  <c:v>0.82608695652173902</c:v>
                </c:pt>
                <c:pt idx="207">
                  <c:v>0.11127819548872186</c:v>
                </c:pt>
                <c:pt idx="208">
                  <c:v>1.1510791366906479</c:v>
                </c:pt>
                <c:pt idx="209">
                  <c:v>0.18500000000000005</c:v>
                </c:pt>
                <c:pt idx="210">
                  <c:v>15.111111111111111</c:v>
                </c:pt>
                <c:pt idx="211">
                  <c:v>8.6153846153846168</c:v>
                </c:pt>
                <c:pt idx="212">
                  <c:v>3.986522911051213</c:v>
                </c:pt>
                <c:pt idx="213">
                  <c:v>0.59375</c:v>
                </c:pt>
                <c:pt idx="214">
                  <c:v>4.4629629629629628</c:v>
                </c:pt>
                <c:pt idx="215">
                  <c:v>105.25</c:v>
                </c:pt>
                <c:pt idx="216">
                  <c:v>11.546558704453439</c:v>
                </c:pt>
                <c:pt idx="217">
                  <c:v>0.23595505617977519</c:v>
                </c:pt>
                <c:pt idx="218">
                  <c:v>0.679245283018868</c:v>
                </c:pt>
                <c:pt idx="219">
                  <c:v>0.15202797202797202</c:v>
                </c:pt>
                <c:pt idx="220">
                  <c:v>0.23123123123123102</c:v>
                </c:pt>
                <c:pt idx="221">
                  <c:v>0.5</c:v>
                </c:pt>
                <c:pt idx="222">
                  <c:v>3.4158878504672892</c:v>
                </c:pt>
                <c:pt idx="223">
                  <c:v>1.1862745098039214</c:v>
                </c:pt>
                <c:pt idx="224">
                  <c:v>1.3160919540229887</c:v>
                </c:pt>
                <c:pt idx="225">
                  <c:v>0.89922480620155043</c:v>
                </c:pt>
                <c:pt idx="226">
                  <c:v>1.7631578947368425</c:v>
                </c:pt>
                <c:pt idx="227">
                  <c:v>4.7002881844380404</c:v>
                </c:pt>
                <c:pt idx="228">
                  <c:v>0.49769585253456228</c:v>
                </c:pt>
                <c:pt idx="229">
                  <c:v>0.72</c:v>
                </c:pt>
                <c:pt idx="230">
                  <c:v>0.68831168831168821</c:v>
                </c:pt>
                <c:pt idx="231">
                  <c:v>1.5978835978835981</c:v>
                </c:pt>
                <c:pt idx="232">
                  <c:v>3.7222222222222223</c:v>
                </c:pt>
                <c:pt idx="233">
                  <c:v>0.9576719576719579</c:v>
                </c:pt>
                <c:pt idx="234">
                  <c:v>0.4049586776859504</c:v>
                </c:pt>
                <c:pt idx="235">
                  <c:v>0.97169811320754684</c:v>
                </c:pt>
                <c:pt idx="236">
                  <c:v>0.91089108910891081</c:v>
                </c:pt>
                <c:pt idx="237">
                  <c:v>6.584269662921348</c:v>
                </c:pt>
                <c:pt idx="238">
                  <c:v>1.6774193548387095</c:v>
                </c:pt>
                <c:pt idx="239">
                  <c:v>1.5347222222222223</c:v>
                </c:pt>
                <c:pt idx="240">
                  <c:v>0.68217054263565879</c:v>
                </c:pt>
                <c:pt idx="241">
                  <c:v>1.0112359550561796</c:v>
                </c:pt>
                <c:pt idx="242">
                  <c:v>1.5906735751295336</c:v>
                </c:pt>
                <c:pt idx="243">
                  <c:v>7.7601078167115904</c:v>
                </c:pt>
                <c:pt idx="244">
                  <c:v>2.1962616822429903</c:v>
                </c:pt>
                <c:pt idx="245">
                  <c:v>0.77894736842105261</c:v>
                </c:pt>
                <c:pt idx="246">
                  <c:v>11.980952380952381</c:v>
                </c:pt>
                <c:pt idx="247">
                  <c:v>0.393877551020408</c:v>
                </c:pt>
                <c:pt idx="248">
                  <c:v>1.9636363636363634</c:v>
                </c:pt>
                <c:pt idx="249">
                  <c:v>1.4308943089430897</c:v>
                </c:pt>
                <c:pt idx="250">
                  <c:v>5.8775510204081636</c:v>
                </c:pt>
                <c:pt idx="251">
                  <c:v>8.3117408906882595</c:v>
                </c:pt>
                <c:pt idx="252">
                  <c:v>5.6412213740458004</c:v>
                </c:pt>
                <c:pt idx="253">
                  <c:v>4.522388059701492</c:v>
                </c:pt>
                <c:pt idx="254">
                  <c:v>3.0437158469945356</c:v>
                </c:pt>
                <c:pt idx="255">
                  <c:v>0.43611111111111112</c:v>
                </c:pt>
                <c:pt idx="256">
                  <c:v>2.2653061224489797</c:v>
                </c:pt>
                <c:pt idx="257">
                  <c:v>0.16630669546436305</c:v>
                </c:pt>
                <c:pt idx="258">
                  <c:v>1.158311345646438</c:v>
                </c:pt>
                <c:pt idx="259">
                  <c:v>3.8675373134328357</c:v>
                </c:pt>
                <c:pt idx="260">
                  <c:v>0.96722408026755824</c:v>
                </c:pt>
                <c:pt idx="261">
                  <c:v>4.8391959798994968</c:v>
                </c:pt>
                <c:pt idx="262">
                  <c:v>0.41295546558704443</c:v>
                </c:pt>
                <c:pt idx="263">
                  <c:v>1.2592592592592591</c:v>
                </c:pt>
                <c:pt idx="264">
                  <c:v>3.9610389610389607</c:v>
                </c:pt>
                <c:pt idx="265">
                  <c:v>3.179347826086957</c:v>
                </c:pt>
                <c:pt idx="266">
                  <c:v>1535.9230769230771</c:v>
                </c:pt>
                <c:pt idx="267">
                  <c:v>2.2083333333333335</c:v>
                </c:pt>
                <c:pt idx="268">
                  <c:v>4.957243816254417</c:v>
                </c:pt>
                <c:pt idx="269">
                  <c:v>1.8192771084337349</c:v>
                </c:pt>
                <c:pt idx="270">
                  <c:v>1.2967032967032965</c:v>
                </c:pt>
                <c:pt idx="271">
                  <c:v>0.5490196078431373</c:v>
                </c:pt>
                <c:pt idx="272">
                  <c:v>1.552204176334107</c:v>
                </c:pt>
                <c:pt idx="273">
                  <c:v>2.1554054054054053</c:v>
                </c:pt>
                <c:pt idx="274">
                  <c:v>0.85813953488372108</c:v>
                </c:pt>
                <c:pt idx="275">
                  <c:v>1.7540983606557377</c:v>
                </c:pt>
                <c:pt idx="276">
                  <c:v>1.2021276595744679</c:v>
                </c:pt>
                <c:pt idx="277">
                  <c:v>1.7307692307692304</c:v>
                </c:pt>
                <c:pt idx="278">
                  <c:v>1.2576112412177989</c:v>
                </c:pt>
                <c:pt idx="279">
                  <c:v>3.1847133757961785</c:v>
                </c:pt>
                <c:pt idx="280">
                  <c:v>1.9661016949152543</c:v>
                </c:pt>
                <c:pt idx="281">
                  <c:v>10.627118644067798</c:v>
                </c:pt>
                <c:pt idx="282">
                  <c:v>1.8767123287671232</c:v>
                </c:pt>
                <c:pt idx="283">
                  <c:v>1.5906735751295336</c:v>
                </c:pt>
                <c:pt idx="284">
                  <c:v>26.051724137931036</c:v>
                </c:pt>
                <c:pt idx="285">
                  <c:v>57.817460317460316</c:v>
                </c:pt>
                <c:pt idx="286">
                  <c:v>5.4189189189189184</c:v>
                </c:pt>
                <c:pt idx="287">
                  <c:v>0.94945848375451281</c:v>
                </c:pt>
                <c:pt idx="288">
                  <c:v>11.773722627737225</c:v>
                </c:pt>
                <c:pt idx="289">
                  <c:v>0.35463258785942497</c:v>
                </c:pt>
                <c:pt idx="290">
                  <c:v>2.9740740740740739</c:v>
                </c:pt>
                <c:pt idx="291">
                  <c:v>39.361990950226243</c:v>
                </c:pt>
                <c:pt idx="292">
                  <c:v>0.95945945945945943</c:v>
                </c:pt>
                <c:pt idx="293">
                  <c:v>2.0627450980392159</c:v>
                </c:pt>
                <c:pt idx="294">
                  <c:v>1.1494252873563218</c:v>
                </c:pt>
                <c:pt idx="295">
                  <c:v>2.5542168674698797</c:v>
                </c:pt>
                <c:pt idx="296">
                  <c:v>3.9459459459459465</c:v>
                </c:pt>
                <c:pt idx="297">
                  <c:v>23.363636363636363</c:v>
                </c:pt>
                <c:pt idx="298">
                  <c:v>3.7767857142857135</c:v>
                </c:pt>
                <c:pt idx="299">
                  <c:v>26.897435897435898</c:v>
                </c:pt>
                <c:pt idx="300">
                  <c:v>4.2175438596491226</c:v>
                </c:pt>
                <c:pt idx="301">
                  <c:v>3.1516245487364625</c:v>
                </c:pt>
                <c:pt idx="302">
                  <c:v>1.943548387096774</c:v>
                </c:pt>
                <c:pt idx="303">
                  <c:v>2.2531400966183579</c:v>
                </c:pt>
                <c:pt idx="304">
                  <c:v>13.798850574712645</c:v>
                </c:pt>
                <c:pt idx="305">
                  <c:v>5.7407407407407405</c:v>
                </c:pt>
                <c:pt idx="306">
                  <c:v>0.5</c:v>
                </c:pt>
                <c:pt idx="307">
                  <c:v>177.1081081081081</c:v>
                </c:pt>
                <c:pt idx="308">
                  <c:v>10.212121212121211</c:v>
                </c:pt>
                <c:pt idx="309">
                  <c:v>0.33720930232558155</c:v>
                </c:pt>
                <c:pt idx="310">
                  <c:v>3.894327030033371</c:v>
                </c:pt>
                <c:pt idx="311">
                  <c:v>0.46627565982404717</c:v>
                </c:pt>
                <c:pt idx="312">
                  <c:v>186.64705882352942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D-41EF-961C-976577E67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623999"/>
        <c:axId val="1744647295"/>
      </c:scatterChart>
      <c:valAx>
        <c:axId val="174462399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</a:t>
                </a:r>
                <a:r>
                  <a:rPr lang="en-US" baseline="0"/>
                  <a:t> </a:t>
                </a:r>
                <a:r>
                  <a:rPr lang="en-US"/>
                  <a:t>Tweets 5 days before buy</a:t>
                </a:r>
              </a:p>
            </c:rich>
          </c:tx>
          <c:layout>
            <c:manualLayout>
              <c:xMode val="edge"/>
              <c:yMode val="edge"/>
              <c:x val="0.36708241480580928"/>
              <c:y val="0.920866693615522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108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47295"/>
        <c:crosses val="autoZero"/>
        <c:crossBetween val="midCat"/>
      </c:valAx>
      <c:valAx>
        <c:axId val="17446472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%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2399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Social</a:t>
            </a:r>
            <a:r>
              <a:rPr lang="en-US" baseline="0"/>
              <a:t> Sentiment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PeakVsDiff50Ma</c:v>
          </c:tx>
          <c:spPr>
            <a:ln w="25400" cap="rnd">
              <a:noFill/>
              <a:prstDash val="solid"/>
            </a:ln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</c:marker>
          <c:xVal>
            <c:numRef>
              <c:f>Stocks!$G$6:$G$318</c:f>
              <c:numCache>
                <c:formatCode>m/d/yyyy</c:formatCode>
                <c:ptCount val="313"/>
                <c:pt idx="0">
                  <c:v>44417</c:v>
                </c:pt>
                <c:pt idx="1">
                  <c:v>44417</c:v>
                </c:pt>
                <c:pt idx="2">
                  <c:v>44417</c:v>
                </c:pt>
                <c:pt idx="3">
                  <c:v>44417</c:v>
                </c:pt>
                <c:pt idx="4">
                  <c:v>44417</c:v>
                </c:pt>
                <c:pt idx="5">
                  <c:v>44413</c:v>
                </c:pt>
                <c:pt idx="6">
                  <c:v>44413</c:v>
                </c:pt>
                <c:pt idx="7">
                  <c:v>44413</c:v>
                </c:pt>
                <c:pt idx="8">
                  <c:v>44406</c:v>
                </c:pt>
                <c:pt idx="9">
                  <c:v>44406</c:v>
                </c:pt>
                <c:pt idx="10">
                  <c:v>44406</c:v>
                </c:pt>
                <c:pt idx="11">
                  <c:v>44399</c:v>
                </c:pt>
                <c:pt idx="12">
                  <c:v>44399</c:v>
                </c:pt>
                <c:pt idx="13">
                  <c:v>44398</c:v>
                </c:pt>
                <c:pt idx="14">
                  <c:v>44397</c:v>
                </c:pt>
                <c:pt idx="15">
                  <c:v>44397</c:v>
                </c:pt>
                <c:pt idx="16">
                  <c:v>44396</c:v>
                </c:pt>
                <c:pt idx="17">
                  <c:v>44392</c:v>
                </c:pt>
                <c:pt idx="18">
                  <c:v>44392</c:v>
                </c:pt>
                <c:pt idx="19">
                  <c:v>44392</c:v>
                </c:pt>
                <c:pt idx="20">
                  <c:v>44391</c:v>
                </c:pt>
                <c:pt idx="21">
                  <c:v>44391</c:v>
                </c:pt>
                <c:pt idx="22">
                  <c:v>44390</c:v>
                </c:pt>
                <c:pt idx="23">
                  <c:v>44390</c:v>
                </c:pt>
                <c:pt idx="24">
                  <c:v>44389</c:v>
                </c:pt>
                <c:pt idx="25">
                  <c:v>44389</c:v>
                </c:pt>
                <c:pt idx="26">
                  <c:v>44389</c:v>
                </c:pt>
                <c:pt idx="27">
                  <c:v>44386</c:v>
                </c:pt>
                <c:pt idx="28">
                  <c:v>44385</c:v>
                </c:pt>
                <c:pt idx="29">
                  <c:v>44385</c:v>
                </c:pt>
                <c:pt idx="30">
                  <c:v>44384</c:v>
                </c:pt>
                <c:pt idx="31">
                  <c:v>44383</c:v>
                </c:pt>
                <c:pt idx="32">
                  <c:v>44383</c:v>
                </c:pt>
                <c:pt idx="33">
                  <c:v>44383</c:v>
                </c:pt>
                <c:pt idx="34">
                  <c:v>44379</c:v>
                </c:pt>
                <c:pt idx="35">
                  <c:v>44379</c:v>
                </c:pt>
                <c:pt idx="36">
                  <c:v>44378</c:v>
                </c:pt>
                <c:pt idx="37">
                  <c:v>44378</c:v>
                </c:pt>
                <c:pt idx="38">
                  <c:v>44377</c:v>
                </c:pt>
                <c:pt idx="39">
                  <c:v>44377</c:v>
                </c:pt>
                <c:pt idx="40">
                  <c:v>44376</c:v>
                </c:pt>
                <c:pt idx="41">
                  <c:v>44376</c:v>
                </c:pt>
                <c:pt idx="42">
                  <c:v>44375</c:v>
                </c:pt>
                <c:pt idx="43">
                  <c:v>44375</c:v>
                </c:pt>
                <c:pt idx="44">
                  <c:v>44375</c:v>
                </c:pt>
                <c:pt idx="45">
                  <c:v>44371</c:v>
                </c:pt>
                <c:pt idx="46">
                  <c:v>44370</c:v>
                </c:pt>
                <c:pt idx="47">
                  <c:v>44370</c:v>
                </c:pt>
                <c:pt idx="48">
                  <c:v>44370</c:v>
                </c:pt>
                <c:pt idx="49">
                  <c:v>44368</c:v>
                </c:pt>
                <c:pt idx="50">
                  <c:v>44368</c:v>
                </c:pt>
                <c:pt idx="51">
                  <c:v>44365</c:v>
                </c:pt>
                <c:pt idx="52">
                  <c:v>44365</c:v>
                </c:pt>
                <c:pt idx="53">
                  <c:v>44364</c:v>
                </c:pt>
                <c:pt idx="54">
                  <c:v>44364</c:v>
                </c:pt>
                <c:pt idx="55">
                  <c:v>44361</c:v>
                </c:pt>
                <c:pt idx="56">
                  <c:v>44361</c:v>
                </c:pt>
                <c:pt idx="57">
                  <c:v>44361</c:v>
                </c:pt>
                <c:pt idx="58">
                  <c:v>44361</c:v>
                </c:pt>
                <c:pt idx="59">
                  <c:v>44361</c:v>
                </c:pt>
                <c:pt idx="60">
                  <c:v>44361</c:v>
                </c:pt>
                <c:pt idx="61">
                  <c:v>44361</c:v>
                </c:pt>
                <c:pt idx="62">
                  <c:v>44361</c:v>
                </c:pt>
                <c:pt idx="63">
                  <c:v>44361</c:v>
                </c:pt>
                <c:pt idx="64">
                  <c:v>44361</c:v>
                </c:pt>
                <c:pt idx="65">
                  <c:v>44357</c:v>
                </c:pt>
                <c:pt idx="66">
                  <c:v>44357</c:v>
                </c:pt>
                <c:pt idx="67">
                  <c:v>44357</c:v>
                </c:pt>
                <c:pt idx="68">
                  <c:v>44356</c:v>
                </c:pt>
                <c:pt idx="69">
                  <c:v>44356</c:v>
                </c:pt>
                <c:pt idx="70">
                  <c:v>44355</c:v>
                </c:pt>
                <c:pt idx="71">
                  <c:v>44351</c:v>
                </c:pt>
                <c:pt idx="72">
                  <c:v>44351</c:v>
                </c:pt>
                <c:pt idx="73">
                  <c:v>44351</c:v>
                </c:pt>
                <c:pt idx="74">
                  <c:v>44351</c:v>
                </c:pt>
                <c:pt idx="75">
                  <c:v>44351</c:v>
                </c:pt>
                <c:pt idx="76">
                  <c:v>44351</c:v>
                </c:pt>
                <c:pt idx="77">
                  <c:v>44351</c:v>
                </c:pt>
                <c:pt idx="78">
                  <c:v>44351</c:v>
                </c:pt>
                <c:pt idx="79">
                  <c:v>44351</c:v>
                </c:pt>
                <c:pt idx="80">
                  <c:v>44351</c:v>
                </c:pt>
                <c:pt idx="81">
                  <c:v>44344</c:v>
                </c:pt>
                <c:pt idx="82">
                  <c:v>44342</c:v>
                </c:pt>
                <c:pt idx="83">
                  <c:v>44342</c:v>
                </c:pt>
                <c:pt idx="84">
                  <c:v>44342</c:v>
                </c:pt>
                <c:pt idx="85">
                  <c:v>44342</c:v>
                </c:pt>
                <c:pt idx="86">
                  <c:v>44342</c:v>
                </c:pt>
                <c:pt idx="87">
                  <c:v>44341</c:v>
                </c:pt>
                <c:pt idx="88">
                  <c:v>44341</c:v>
                </c:pt>
                <c:pt idx="89">
                  <c:v>44340</c:v>
                </c:pt>
                <c:pt idx="90">
                  <c:v>44340</c:v>
                </c:pt>
                <c:pt idx="91">
                  <c:v>44340</c:v>
                </c:pt>
                <c:pt idx="92">
                  <c:v>44340</c:v>
                </c:pt>
                <c:pt idx="93">
                  <c:v>44340</c:v>
                </c:pt>
                <c:pt idx="94">
                  <c:v>44340</c:v>
                </c:pt>
                <c:pt idx="95">
                  <c:v>44340</c:v>
                </c:pt>
                <c:pt idx="96">
                  <c:v>44340</c:v>
                </c:pt>
                <c:pt idx="97">
                  <c:v>44337</c:v>
                </c:pt>
                <c:pt idx="98">
                  <c:v>44337</c:v>
                </c:pt>
                <c:pt idx="99">
                  <c:v>44337</c:v>
                </c:pt>
                <c:pt idx="100">
                  <c:v>44337</c:v>
                </c:pt>
                <c:pt idx="101">
                  <c:v>44336</c:v>
                </c:pt>
                <c:pt idx="102">
                  <c:v>44336</c:v>
                </c:pt>
                <c:pt idx="103">
                  <c:v>44336</c:v>
                </c:pt>
                <c:pt idx="104">
                  <c:v>44336</c:v>
                </c:pt>
                <c:pt idx="105">
                  <c:v>44336</c:v>
                </c:pt>
                <c:pt idx="106">
                  <c:v>44336</c:v>
                </c:pt>
                <c:pt idx="107">
                  <c:v>44336</c:v>
                </c:pt>
                <c:pt idx="108">
                  <c:v>44336</c:v>
                </c:pt>
                <c:pt idx="109">
                  <c:v>44336</c:v>
                </c:pt>
                <c:pt idx="110">
                  <c:v>44335</c:v>
                </c:pt>
                <c:pt idx="111">
                  <c:v>44335</c:v>
                </c:pt>
                <c:pt idx="112">
                  <c:v>44335</c:v>
                </c:pt>
                <c:pt idx="113">
                  <c:v>44335</c:v>
                </c:pt>
                <c:pt idx="114">
                  <c:v>44335</c:v>
                </c:pt>
                <c:pt idx="115">
                  <c:v>44335</c:v>
                </c:pt>
                <c:pt idx="116">
                  <c:v>44334</c:v>
                </c:pt>
                <c:pt idx="117">
                  <c:v>44334</c:v>
                </c:pt>
                <c:pt idx="118">
                  <c:v>44334</c:v>
                </c:pt>
                <c:pt idx="119">
                  <c:v>44334</c:v>
                </c:pt>
                <c:pt idx="120">
                  <c:v>44334</c:v>
                </c:pt>
                <c:pt idx="121">
                  <c:v>44334</c:v>
                </c:pt>
                <c:pt idx="122">
                  <c:v>44334</c:v>
                </c:pt>
                <c:pt idx="123">
                  <c:v>44334</c:v>
                </c:pt>
                <c:pt idx="124">
                  <c:v>44334</c:v>
                </c:pt>
                <c:pt idx="125">
                  <c:v>44333</c:v>
                </c:pt>
                <c:pt idx="126">
                  <c:v>44332</c:v>
                </c:pt>
                <c:pt idx="127">
                  <c:v>44329</c:v>
                </c:pt>
                <c:pt idx="128">
                  <c:v>44329</c:v>
                </c:pt>
                <c:pt idx="129">
                  <c:v>44329</c:v>
                </c:pt>
                <c:pt idx="130">
                  <c:v>44328</c:v>
                </c:pt>
                <c:pt idx="131">
                  <c:v>44327</c:v>
                </c:pt>
                <c:pt idx="132">
                  <c:v>44326</c:v>
                </c:pt>
                <c:pt idx="133">
                  <c:v>44323</c:v>
                </c:pt>
                <c:pt idx="134">
                  <c:v>44323</c:v>
                </c:pt>
                <c:pt idx="135">
                  <c:v>44321</c:v>
                </c:pt>
                <c:pt idx="136">
                  <c:v>44316</c:v>
                </c:pt>
                <c:pt idx="137">
                  <c:v>44314</c:v>
                </c:pt>
                <c:pt idx="138">
                  <c:v>44312</c:v>
                </c:pt>
                <c:pt idx="139">
                  <c:v>44308</c:v>
                </c:pt>
                <c:pt idx="140">
                  <c:v>44306</c:v>
                </c:pt>
                <c:pt idx="141">
                  <c:v>44306</c:v>
                </c:pt>
                <c:pt idx="142">
                  <c:v>44294</c:v>
                </c:pt>
                <c:pt idx="143">
                  <c:v>44293</c:v>
                </c:pt>
                <c:pt idx="144">
                  <c:v>44293</c:v>
                </c:pt>
                <c:pt idx="145">
                  <c:v>44292</c:v>
                </c:pt>
                <c:pt idx="146">
                  <c:v>44287</c:v>
                </c:pt>
                <c:pt idx="147">
                  <c:v>44284</c:v>
                </c:pt>
                <c:pt idx="148">
                  <c:v>44284</c:v>
                </c:pt>
                <c:pt idx="149">
                  <c:v>44284</c:v>
                </c:pt>
                <c:pt idx="150">
                  <c:v>44284</c:v>
                </c:pt>
                <c:pt idx="151">
                  <c:v>44284</c:v>
                </c:pt>
                <c:pt idx="152">
                  <c:v>44284</c:v>
                </c:pt>
                <c:pt idx="153">
                  <c:v>44284</c:v>
                </c:pt>
                <c:pt idx="154">
                  <c:v>44284</c:v>
                </c:pt>
                <c:pt idx="155">
                  <c:v>44284</c:v>
                </c:pt>
                <c:pt idx="156">
                  <c:v>44284</c:v>
                </c:pt>
                <c:pt idx="157">
                  <c:v>44284</c:v>
                </c:pt>
                <c:pt idx="158">
                  <c:v>44284</c:v>
                </c:pt>
                <c:pt idx="159">
                  <c:v>44280</c:v>
                </c:pt>
                <c:pt idx="160">
                  <c:v>44280</c:v>
                </c:pt>
                <c:pt idx="161">
                  <c:v>44277</c:v>
                </c:pt>
                <c:pt idx="162">
                  <c:v>44277</c:v>
                </c:pt>
                <c:pt idx="163">
                  <c:v>44277</c:v>
                </c:pt>
                <c:pt idx="164">
                  <c:v>44277</c:v>
                </c:pt>
                <c:pt idx="165">
                  <c:v>44277</c:v>
                </c:pt>
                <c:pt idx="166">
                  <c:v>44277</c:v>
                </c:pt>
                <c:pt idx="167">
                  <c:v>44277</c:v>
                </c:pt>
                <c:pt idx="168">
                  <c:v>44277</c:v>
                </c:pt>
                <c:pt idx="169">
                  <c:v>44277</c:v>
                </c:pt>
                <c:pt idx="170">
                  <c:v>44257</c:v>
                </c:pt>
                <c:pt idx="171">
                  <c:v>44253</c:v>
                </c:pt>
                <c:pt idx="172">
                  <c:v>44253</c:v>
                </c:pt>
                <c:pt idx="173">
                  <c:v>44252</c:v>
                </c:pt>
                <c:pt idx="174">
                  <c:v>44252</c:v>
                </c:pt>
                <c:pt idx="175">
                  <c:v>44251</c:v>
                </c:pt>
                <c:pt idx="176">
                  <c:v>44251</c:v>
                </c:pt>
                <c:pt idx="177">
                  <c:v>44251</c:v>
                </c:pt>
                <c:pt idx="178">
                  <c:v>44251</c:v>
                </c:pt>
                <c:pt idx="179">
                  <c:v>44251</c:v>
                </c:pt>
                <c:pt idx="180">
                  <c:v>44250</c:v>
                </c:pt>
                <c:pt idx="181">
                  <c:v>44249</c:v>
                </c:pt>
                <c:pt idx="182">
                  <c:v>44249</c:v>
                </c:pt>
                <c:pt idx="183">
                  <c:v>44245</c:v>
                </c:pt>
                <c:pt idx="184">
                  <c:v>44243</c:v>
                </c:pt>
                <c:pt idx="185">
                  <c:v>44243</c:v>
                </c:pt>
                <c:pt idx="186">
                  <c:v>44243</c:v>
                </c:pt>
                <c:pt idx="187">
                  <c:v>44243</c:v>
                </c:pt>
                <c:pt idx="188">
                  <c:v>44236</c:v>
                </c:pt>
                <c:pt idx="189">
                  <c:v>44236</c:v>
                </c:pt>
                <c:pt idx="190">
                  <c:v>44236</c:v>
                </c:pt>
                <c:pt idx="191">
                  <c:v>44236</c:v>
                </c:pt>
                <c:pt idx="192">
                  <c:v>44236</c:v>
                </c:pt>
                <c:pt idx="193">
                  <c:v>44236</c:v>
                </c:pt>
                <c:pt idx="194">
                  <c:v>44236</c:v>
                </c:pt>
                <c:pt idx="195">
                  <c:v>44236</c:v>
                </c:pt>
                <c:pt idx="196">
                  <c:v>44236</c:v>
                </c:pt>
                <c:pt idx="197">
                  <c:v>44236</c:v>
                </c:pt>
                <c:pt idx="198">
                  <c:v>44236</c:v>
                </c:pt>
                <c:pt idx="199">
                  <c:v>44236</c:v>
                </c:pt>
                <c:pt idx="200">
                  <c:v>44232</c:v>
                </c:pt>
                <c:pt idx="201">
                  <c:v>44232</c:v>
                </c:pt>
                <c:pt idx="202">
                  <c:v>44232</c:v>
                </c:pt>
                <c:pt idx="203">
                  <c:v>44232</c:v>
                </c:pt>
                <c:pt idx="204">
                  <c:v>44232</c:v>
                </c:pt>
                <c:pt idx="205">
                  <c:v>44232</c:v>
                </c:pt>
                <c:pt idx="206">
                  <c:v>44232</c:v>
                </c:pt>
                <c:pt idx="207">
                  <c:v>44232</c:v>
                </c:pt>
                <c:pt idx="208">
                  <c:v>44232</c:v>
                </c:pt>
                <c:pt idx="209">
                  <c:v>44232</c:v>
                </c:pt>
                <c:pt idx="210">
                  <c:v>44232</c:v>
                </c:pt>
                <c:pt idx="211">
                  <c:v>44225</c:v>
                </c:pt>
                <c:pt idx="212">
                  <c:v>44224</c:v>
                </c:pt>
                <c:pt idx="213">
                  <c:v>44223</c:v>
                </c:pt>
                <c:pt idx="214">
                  <c:v>44221</c:v>
                </c:pt>
                <c:pt idx="215">
                  <c:v>44221</c:v>
                </c:pt>
                <c:pt idx="216">
                  <c:v>44218</c:v>
                </c:pt>
                <c:pt idx="217">
                  <c:v>44218</c:v>
                </c:pt>
                <c:pt idx="218">
                  <c:v>44218</c:v>
                </c:pt>
                <c:pt idx="219">
                  <c:v>44218</c:v>
                </c:pt>
                <c:pt idx="220">
                  <c:v>44218</c:v>
                </c:pt>
                <c:pt idx="221">
                  <c:v>44218</c:v>
                </c:pt>
                <c:pt idx="222">
                  <c:v>44218</c:v>
                </c:pt>
                <c:pt idx="223">
                  <c:v>44218</c:v>
                </c:pt>
                <c:pt idx="224">
                  <c:v>44218</c:v>
                </c:pt>
                <c:pt idx="225">
                  <c:v>44218</c:v>
                </c:pt>
                <c:pt idx="226">
                  <c:v>44218</c:v>
                </c:pt>
                <c:pt idx="227">
                  <c:v>44217</c:v>
                </c:pt>
                <c:pt idx="228">
                  <c:v>44213</c:v>
                </c:pt>
                <c:pt idx="229">
                  <c:v>44211</c:v>
                </c:pt>
                <c:pt idx="230">
                  <c:v>44210</c:v>
                </c:pt>
                <c:pt idx="231">
                  <c:v>44210</c:v>
                </c:pt>
                <c:pt idx="232">
                  <c:v>44210</c:v>
                </c:pt>
                <c:pt idx="233">
                  <c:v>44210</c:v>
                </c:pt>
                <c:pt idx="234">
                  <c:v>44210</c:v>
                </c:pt>
                <c:pt idx="235">
                  <c:v>44210</c:v>
                </c:pt>
                <c:pt idx="236">
                  <c:v>44210</c:v>
                </c:pt>
                <c:pt idx="237">
                  <c:v>44210</c:v>
                </c:pt>
                <c:pt idx="238">
                  <c:v>44210</c:v>
                </c:pt>
                <c:pt idx="239">
                  <c:v>44210</c:v>
                </c:pt>
                <c:pt idx="240">
                  <c:v>44210</c:v>
                </c:pt>
                <c:pt idx="241">
                  <c:v>44204</c:v>
                </c:pt>
                <c:pt idx="242">
                  <c:v>44204</c:v>
                </c:pt>
                <c:pt idx="243">
                  <c:v>44204</c:v>
                </c:pt>
                <c:pt idx="244">
                  <c:v>44204</c:v>
                </c:pt>
                <c:pt idx="245">
                  <c:v>44204</c:v>
                </c:pt>
                <c:pt idx="246">
                  <c:v>44204</c:v>
                </c:pt>
                <c:pt idx="247">
                  <c:v>44204</c:v>
                </c:pt>
                <c:pt idx="248">
                  <c:v>44204</c:v>
                </c:pt>
                <c:pt idx="249">
                  <c:v>44204</c:v>
                </c:pt>
                <c:pt idx="250">
                  <c:v>44204</c:v>
                </c:pt>
                <c:pt idx="251">
                  <c:v>44202</c:v>
                </c:pt>
                <c:pt idx="252">
                  <c:v>44200</c:v>
                </c:pt>
                <c:pt idx="253">
                  <c:v>44200</c:v>
                </c:pt>
                <c:pt idx="254">
                  <c:v>44200</c:v>
                </c:pt>
                <c:pt idx="255">
                  <c:v>44200</c:v>
                </c:pt>
                <c:pt idx="256">
                  <c:v>44200</c:v>
                </c:pt>
                <c:pt idx="257">
                  <c:v>44200</c:v>
                </c:pt>
                <c:pt idx="258">
                  <c:v>44200</c:v>
                </c:pt>
                <c:pt idx="259">
                  <c:v>44200</c:v>
                </c:pt>
                <c:pt idx="260">
                  <c:v>44200</c:v>
                </c:pt>
                <c:pt idx="261">
                  <c:v>44200</c:v>
                </c:pt>
                <c:pt idx="262">
                  <c:v>44200</c:v>
                </c:pt>
                <c:pt idx="263">
                  <c:v>44200</c:v>
                </c:pt>
                <c:pt idx="264">
                  <c:v>44200</c:v>
                </c:pt>
                <c:pt idx="265">
                  <c:v>44200</c:v>
                </c:pt>
                <c:pt idx="266">
                  <c:v>44200</c:v>
                </c:pt>
                <c:pt idx="267">
                  <c:v>44193</c:v>
                </c:pt>
                <c:pt idx="268">
                  <c:v>44193</c:v>
                </c:pt>
                <c:pt idx="269">
                  <c:v>44193</c:v>
                </c:pt>
                <c:pt idx="270">
                  <c:v>44193</c:v>
                </c:pt>
                <c:pt idx="271">
                  <c:v>44193</c:v>
                </c:pt>
                <c:pt idx="272">
                  <c:v>44193</c:v>
                </c:pt>
                <c:pt idx="273">
                  <c:v>44193</c:v>
                </c:pt>
                <c:pt idx="274">
                  <c:v>44193</c:v>
                </c:pt>
                <c:pt idx="275">
                  <c:v>44193</c:v>
                </c:pt>
                <c:pt idx="276">
                  <c:v>44187</c:v>
                </c:pt>
                <c:pt idx="277">
                  <c:v>44186</c:v>
                </c:pt>
                <c:pt idx="278">
                  <c:v>44186</c:v>
                </c:pt>
                <c:pt idx="279">
                  <c:v>44186</c:v>
                </c:pt>
                <c:pt idx="280">
                  <c:v>44186</c:v>
                </c:pt>
                <c:pt idx="281">
                  <c:v>44186</c:v>
                </c:pt>
                <c:pt idx="282">
                  <c:v>44186</c:v>
                </c:pt>
                <c:pt idx="283">
                  <c:v>44186</c:v>
                </c:pt>
                <c:pt idx="284">
                  <c:v>44186</c:v>
                </c:pt>
                <c:pt idx="285">
                  <c:v>44182</c:v>
                </c:pt>
                <c:pt idx="286">
                  <c:v>44176</c:v>
                </c:pt>
                <c:pt idx="287">
                  <c:v>44162</c:v>
                </c:pt>
                <c:pt idx="288">
                  <c:v>44162</c:v>
                </c:pt>
                <c:pt idx="289">
                  <c:v>44162</c:v>
                </c:pt>
                <c:pt idx="290">
                  <c:v>44148</c:v>
                </c:pt>
                <c:pt idx="291">
                  <c:v>44138</c:v>
                </c:pt>
                <c:pt idx="292">
                  <c:v>44132</c:v>
                </c:pt>
                <c:pt idx="293">
                  <c:v>44130</c:v>
                </c:pt>
                <c:pt idx="294">
                  <c:v>44130</c:v>
                </c:pt>
                <c:pt idx="295">
                  <c:v>44130</c:v>
                </c:pt>
                <c:pt idx="296">
                  <c:v>44118</c:v>
                </c:pt>
                <c:pt idx="297">
                  <c:v>44118</c:v>
                </c:pt>
                <c:pt idx="298">
                  <c:v>44116</c:v>
                </c:pt>
                <c:pt idx="299">
                  <c:v>44116</c:v>
                </c:pt>
                <c:pt idx="300">
                  <c:v>44113</c:v>
                </c:pt>
                <c:pt idx="301">
                  <c:v>44111</c:v>
                </c:pt>
                <c:pt idx="302">
                  <c:v>44109</c:v>
                </c:pt>
                <c:pt idx="303">
                  <c:v>44103</c:v>
                </c:pt>
                <c:pt idx="304">
                  <c:v>44057</c:v>
                </c:pt>
                <c:pt idx="305">
                  <c:v>44057</c:v>
                </c:pt>
                <c:pt idx="306">
                  <c:v>44057</c:v>
                </c:pt>
                <c:pt idx="307">
                  <c:v>44057</c:v>
                </c:pt>
                <c:pt idx="308">
                  <c:v>44057</c:v>
                </c:pt>
                <c:pt idx="309">
                  <c:v>44057</c:v>
                </c:pt>
                <c:pt idx="310">
                  <c:v>44057</c:v>
                </c:pt>
                <c:pt idx="311">
                  <c:v>44057</c:v>
                </c:pt>
                <c:pt idx="312">
                  <c:v>44042</c:v>
                </c:pt>
              </c:numCache>
            </c:numRef>
          </c:xVal>
          <c:yVal>
            <c:numRef>
              <c:f>Stocks!$L$6:$L$318</c:f>
              <c:numCache>
                <c:formatCode>0.00%</c:formatCode>
                <c:ptCount val="313"/>
                <c:pt idx="0">
                  <c:v>0.10476190476190461</c:v>
                </c:pt>
                <c:pt idx="1">
                  <c:v>2.3041474654378113E-2</c:v>
                </c:pt>
                <c:pt idx="2">
                  <c:v>4.9342105263157965E-2</c:v>
                </c:pt>
                <c:pt idx="3">
                  <c:v>0.74725274725274726</c:v>
                </c:pt>
                <c:pt idx="4">
                  <c:v>3.01111111111112E-2</c:v>
                </c:pt>
                <c:pt idx="5">
                  <c:v>8.7499999999999911E-2</c:v>
                </c:pt>
                <c:pt idx="6">
                  <c:v>6.3780487804877994E-2</c:v>
                </c:pt>
                <c:pt idx="7">
                  <c:v>1.8774559743850894E-2</c:v>
                </c:pt>
                <c:pt idx="8">
                  <c:v>0.64655172413793105</c:v>
                </c:pt>
                <c:pt idx="9">
                  <c:v>7.6335877862594437E-3</c:v>
                </c:pt>
                <c:pt idx="10">
                  <c:v>6.3829787234042534E-2</c:v>
                </c:pt>
                <c:pt idx="11">
                  <c:v>0.29281767955801086</c:v>
                </c:pt>
                <c:pt idx="12">
                  <c:v>0.16030534351145032</c:v>
                </c:pt>
                <c:pt idx="13">
                  <c:v>0.27803738317756999</c:v>
                </c:pt>
                <c:pt idx="14">
                  <c:v>0.51063829787234027</c:v>
                </c:pt>
                <c:pt idx="15">
                  <c:v>0.15044247787610621</c:v>
                </c:pt>
                <c:pt idx="16">
                  <c:v>0.19999999999999996</c:v>
                </c:pt>
                <c:pt idx="17">
                  <c:v>0.15025906735751304</c:v>
                </c:pt>
                <c:pt idx="18">
                  <c:v>0.16550522648083632</c:v>
                </c:pt>
                <c:pt idx="19">
                  <c:v>0.15835140997830788</c:v>
                </c:pt>
                <c:pt idx="20">
                  <c:v>0.37790697674418605</c:v>
                </c:pt>
                <c:pt idx="21">
                  <c:v>0.17380352644836261</c:v>
                </c:pt>
                <c:pt idx="22">
                  <c:v>0.14563758389261738</c:v>
                </c:pt>
                <c:pt idx="23">
                  <c:v>0.88888888888888884</c:v>
                </c:pt>
                <c:pt idx="24">
                  <c:v>0.26791866028708133</c:v>
                </c:pt>
                <c:pt idx="25">
                  <c:v>2.3923444976076791E-2</c:v>
                </c:pt>
                <c:pt idx="26">
                  <c:v>1.9148936170212627E-2</c:v>
                </c:pt>
                <c:pt idx="27">
                  <c:v>0.18090909090909091</c:v>
                </c:pt>
                <c:pt idx="28">
                  <c:v>0.1333333333333333</c:v>
                </c:pt>
                <c:pt idx="29">
                  <c:v>0.23762376237623761</c:v>
                </c:pt>
                <c:pt idx="30">
                  <c:v>0.42245989304812825</c:v>
                </c:pt>
                <c:pt idx="31">
                  <c:v>0.26818181818181808</c:v>
                </c:pt>
                <c:pt idx="32">
                  <c:v>0.22135416666666674</c:v>
                </c:pt>
                <c:pt idx="33">
                  <c:v>0.13654618473895574</c:v>
                </c:pt>
                <c:pt idx="34">
                  <c:v>0.26249999999999996</c:v>
                </c:pt>
                <c:pt idx="35">
                  <c:v>5.2173913043478404E-2</c:v>
                </c:pt>
                <c:pt idx="36">
                  <c:v>0.23031496062992129</c:v>
                </c:pt>
                <c:pt idx="37">
                  <c:v>2.5404157043879882E-2</c:v>
                </c:pt>
                <c:pt idx="38">
                  <c:v>0.60194174757281571</c:v>
                </c:pt>
                <c:pt idx="39">
                  <c:v>0.58723404255319145</c:v>
                </c:pt>
                <c:pt idx="40">
                  <c:v>0.25161073825503366</c:v>
                </c:pt>
                <c:pt idx="41">
                  <c:v>0.16891891891891886</c:v>
                </c:pt>
                <c:pt idx="42">
                  <c:v>9.8901098901098994E-2</c:v>
                </c:pt>
                <c:pt idx="43">
                  <c:v>2.6824324324324325</c:v>
                </c:pt>
                <c:pt idx="44">
                  <c:v>0.76470588235294135</c:v>
                </c:pt>
                <c:pt idx="45">
                  <c:v>1.3289036544850585E-2</c:v>
                </c:pt>
                <c:pt idx="46">
                  <c:v>1.0472103004291844</c:v>
                </c:pt>
                <c:pt idx="47">
                  <c:v>0.60919540229885039</c:v>
                </c:pt>
                <c:pt idx="48">
                  <c:v>0.16363636363636358</c:v>
                </c:pt>
                <c:pt idx="49">
                  <c:v>0.70434306569343064</c:v>
                </c:pt>
                <c:pt idx="50">
                  <c:v>1.1710526315789473</c:v>
                </c:pt>
                <c:pt idx="51">
                  <c:v>2.4691358024691468E-2</c:v>
                </c:pt>
                <c:pt idx="52">
                  <c:v>8.0873786407766985</c:v>
                </c:pt>
                <c:pt idx="53">
                  <c:v>9.3301435406698774E-2</c:v>
                </c:pt>
                <c:pt idx="54">
                  <c:v>0.38797814207650272</c:v>
                </c:pt>
                <c:pt idx="55">
                  <c:v>9.0163934426229719E-2</c:v>
                </c:pt>
                <c:pt idx="56">
                  <c:v>5.2837573385518422E-2</c:v>
                </c:pt>
                <c:pt idx="57">
                  <c:v>0.2222222222222221</c:v>
                </c:pt>
                <c:pt idx="58">
                  <c:v>1.754385964912264E-2</c:v>
                </c:pt>
                <c:pt idx="59">
                  <c:v>0</c:v>
                </c:pt>
                <c:pt idx="60">
                  <c:v>6.4628099173553721E-2</c:v>
                </c:pt>
                <c:pt idx="61">
                  <c:v>0.26400000000000001</c:v>
                </c:pt>
                <c:pt idx="62">
                  <c:v>0</c:v>
                </c:pt>
                <c:pt idx="63">
                  <c:v>0</c:v>
                </c:pt>
                <c:pt idx="64">
                  <c:v>0.41032608695652173</c:v>
                </c:pt>
                <c:pt idx="65">
                  <c:v>9.8265895953757232E-2</c:v>
                </c:pt>
                <c:pt idx="66">
                  <c:v>0.24657534246575352</c:v>
                </c:pt>
                <c:pt idx="67">
                  <c:v>0.58634538152610438</c:v>
                </c:pt>
                <c:pt idx="68">
                  <c:v>0.31525423728813551</c:v>
                </c:pt>
                <c:pt idx="69">
                  <c:v>0.88461538461538458</c:v>
                </c:pt>
                <c:pt idx="70">
                  <c:v>0.51785714285714257</c:v>
                </c:pt>
                <c:pt idx="71">
                  <c:v>1.7304964539007095</c:v>
                </c:pt>
                <c:pt idx="72">
                  <c:v>0.75428571428571423</c:v>
                </c:pt>
                <c:pt idx="73">
                  <c:v>11.380191693290735</c:v>
                </c:pt>
                <c:pt idx="74">
                  <c:v>1.3763157894736842</c:v>
                </c:pt>
                <c:pt idx="75">
                  <c:v>0.34928229665071764</c:v>
                </c:pt>
                <c:pt idx="76">
                  <c:v>0.13140604467805517</c:v>
                </c:pt>
                <c:pt idx="77">
                  <c:v>5.4545454545454675E-2</c:v>
                </c:pt>
                <c:pt idx="78">
                  <c:v>0.29875518672199153</c:v>
                </c:pt>
                <c:pt idx="79">
                  <c:v>0.17753623188405809</c:v>
                </c:pt>
                <c:pt idx="80">
                  <c:v>0.33377823408624208</c:v>
                </c:pt>
                <c:pt idx="81">
                  <c:v>0.65297450424929182</c:v>
                </c:pt>
                <c:pt idx="82">
                  <c:v>0.33725490196078445</c:v>
                </c:pt>
                <c:pt idx="83">
                  <c:v>0.3348623853211008</c:v>
                </c:pt>
                <c:pt idx="84">
                  <c:v>0.5095628415300546</c:v>
                </c:pt>
                <c:pt idx="85">
                  <c:v>1.5000000000000004</c:v>
                </c:pt>
                <c:pt idx="86">
                  <c:v>0.11111111111111116</c:v>
                </c:pt>
                <c:pt idx="87">
                  <c:v>1.5</c:v>
                </c:pt>
                <c:pt idx="88">
                  <c:v>0.66666666666666674</c:v>
                </c:pt>
                <c:pt idx="89">
                  <c:v>0.35511363636363624</c:v>
                </c:pt>
                <c:pt idx="90">
                  <c:v>0.14285714285714302</c:v>
                </c:pt>
                <c:pt idx="91">
                  <c:v>0.8333333333333337</c:v>
                </c:pt>
                <c:pt idx="92">
                  <c:v>0.14285714285714302</c:v>
                </c:pt>
                <c:pt idx="93">
                  <c:v>1.25</c:v>
                </c:pt>
                <c:pt idx="94">
                  <c:v>0.60000000000000009</c:v>
                </c:pt>
                <c:pt idx="95">
                  <c:v>0.90909090909090895</c:v>
                </c:pt>
                <c:pt idx="96">
                  <c:v>3.416666666666667</c:v>
                </c:pt>
                <c:pt idx="97">
                  <c:v>0.36363636363636354</c:v>
                </c:pt>
                <c:pt idx="98">
                  <c:v>1.6521739130434785</c:v>
                </c:pt>
                <c:pt idx="99">
                  <c:v>0.47368421052631571</c:v>
                </c:pt>
                <c:pt idx="100">
                  <c:v>0.25925925925925908</c:v>
                </c:pt>
                <c:pt idx="101">
                  <c:v>4.1640340218712026</c:v>
                </c:pt>
                <c:pt idx="102">
                  <c:v>1.8888888888888888</c:v>
                </c:pt>
                <c:pt idx="103">
                  <c:v>1.6175438596491225</c:v>
                </c:pt>
                <c:pt idx="104">
                  <c:v>0.18561872909698995</c:v>
                </c:pt>
                <c:pt idx="105">
                  <c:v>0.26434782608695651</c:v>
                </c:pt>
                <c:pt idx="106">
                  <c:v>0.78571428571428603</c:v>
                </c:pt>
                <c:pt idx="107">
                  <c:v>1.6875</c:v>
                </c:pt>
                <c:pt idx="108">
                  <c:v>0.41666666666666674</c:v>
                </c:pt>
                <c:pt idx="109">
                  <c:v>1.3611111111111112</c:v>
                </c:pt>
                <c:pt idx="110">
                  <c:v>1.3834586466165413</c:v>
                </c:pt>
                <c:pt idx="111">
                  <c:v>0.34545454545454546</c:v>
                </c:pt>
                <c:pt idx="112">
                  <c:v>0.28779342723004686</c:v>
                </c:pt>
                <c:pt idx="113">
                  <c:v>0.17064516129032259</c:v>
                </c:pt>
                <c:pt idx="114">
                  <c:v>0.41564705882352948</c:v>
                </c:pt>
                <c:pt idx="115">
                  <c:v>0.35999999999999988</c:v>
                </c:pt>
                <c:pt idx="116">
                  <c:v>0.42004773269689721</c:v>
                </c:pt>
                <c:pt idx="117">
                  <c:v>0.52173913043478271</c:v>
                </c:pt>
                <c:pt idx="118">
                  <c:v>0.18518518518518512</c:v>
                </c:pt>
                <c:pt idx="119">
                  <c:v>0.12426035502958577</c:v>
                </c:pt>
                <c:pt idx="120">
                  <c:v>0.77499999999999991</c:v>
                </c:pt>
                <c:pt idx="121">
                  <c:v>0.17647058823529416</c:v>
                </c:pt>
                <c:pt idx="122">
                  <c:v>0.28571428571428559</c:v>
                </c:pt>
                <c:pt idx="123">
                  <c:v>1</c:v>
                </c:pt>
                <c:pt idx="124">
                  <c:v>1.1363636363636362</c:v>
                </c:pt>
                <c:pt idx="125">
                  <c:v>0.36956521739130421</c:v>
                </c:pt>
                <c:pt idx="126">
                  <c:v>9.0579710144927494E-2</c:v>
                </c:pt>
                <c:pt idx="127">
                  <c:v>0.32743362831858414</c:v>
                </c:pt>
                <c:pt idx="128">
                  <c:v>1.9238329238329235</c:v>
                </c:pt>
                <c:pt idx="129">
                  <c:v>0.47058823529411753</c:v>
                </c:pt>
                <c:pt idx="130">
                  <c:v>0.44444444444444442</c:v>
                </c:pt>
                <c:pt idx="131">
                  <c:v>0.25839416058394149</c:v>
                </c:pt>
                <c:pt idx="132">
                  <c:v>0.40298507462686572</c:v>
                </c:pt>
                <c:pt idx="133">
                  <c:v>0.30097087378640786</c:v>
                </c:pt>
                <c:pt idx="134">
                  <c:v>0.10596026490066213</c:v>
                </c:pt>
                <c:pt idx="135">
                  <c:v>0.10270270270270276</c:v>
                </c:pt>
                <c:pt idx="136">
                  <c:v>0.1160714285714286</c:v>
                </c:pt>
                <c:pt idx="137">
                  <c:v>0.1734693877551019</c:v>
                </c:pt>
                <c:pt idx="138">
                  <c:v>2.2857142857142856</c:v>
                </c:pt>
                <c:pt idx="139">
                  <c:v>0.12337662337662336</c:v>
                </c:pt>
                <c:pt idx="140">
                  <c:v>0.21739130434782616</c:v>
                </c:pt>
                <c:pt idx="141">
                  <c:v>0.40697674418604657</c:v>
                </c:pt>
                <c:pt idx="142">
                  <c:v>0.12250000000000005</c:v>
                </c:pt>
                <c:pt idx="143">
                  <c:v>0.15294117647058836</c:v>
                </c:pt>
                <c:pt idx="144">
                  <c:v>7.5268817204301008E-2</c:v>
                </c:pt>
                <c:pt idx="145">
                  <c:v>0.12127272727272742</c:v>
                </c:pt>
                <c:pt idx="146">
                  <c:v>0.11999999999999988</c:v>
                </c:pt>
                <c:pt idx="147">
                  <c:v>0.31275720164609044</c:v>
                </c:pt>
                <c:pt idx="148">
                  <c:v>0.18333333333333335</c:v>
                </c:pt>
                <c:pt idx="149">
                  <c:v>0.21246458923512757</c:v>
                </c:pt>
                <c:pt idx="150">
                  <c:v>0.51291512915129145</c:v>
                </c:pt>
                <c:pt idx="151">
                  <c:v>13.815217391304348</c:v>
                </c:pt>
                <c:pt idx="152">
                  <c:v>0.46370967741935476</c:v>
                </c:pt>
                <c:pt idx="153">
                  <c:v>1.9753086419753041E-2</c:v>
                </c:pt>
                <c:pt idx="154">
                  <c:v>0</c:v>
                </c:pt>
                <c:pt idx="155">
                  <c:v>5.4545454545454453E-2</c:v>
                </c:pt>
                <c:pt idx="156">
                  <c:v>0.27483443708609268</c:v>
                </c:pt>
                <c:pt idx="157">
                  <c:v>0.1150442477876108</c:v>
                </c:pt>
                <c:pt idx="158">
                  <c:v>9.3023255813953654E-2</c:v>
                </c:pt>
                <c:pt idx="159">
                  <c:v>0.34545454545454546</c:v>
                </c:pt>
                <c:pt idx="160">
                  <c:v>0.48258706467661705</c:v>
                </c:pt>
                <c:pt idx="161">
                  <c:v>1.2318840579710146</c:v>
                </c:pt>
                <c:pt idx="162">
                  <c:v>0.14572864321608026</c:v>
                </c:pt>
                <c:pt idx="163">
                  <c:v>4.8780487804878092E-3</c:v>
                </c:pt>
                <c:pt idx="164">
                  <c:v>0</c:v>
                </c:pt>
                <c:pt idx="165">
                  <c:v>0.72321428571428559</c:v>
                </c:pt>
                <c:pt idx="166">
                  <c:v>1.0869565217391353E-2</c:v>
                </c:pt>
                <c:pt idx="167">
                  <c:v>2.1582733812949728E-2</c:v>
                </c:pt>
                <c:pt idx="168">
                  <c:v>1.1249999999999982E-2</c:v>
                </c:pt>
                <c:pt idx="169">
                  <c:v>0</c:v>
                </c:pt>
                <c:pt idx="170">
                  <c:v>0.17669172932330812</c:v>
                </c:pt>
                <c:pt idx="171">
                  <c:v>2</c:v>
                </c:pt>
                <c:pt idx="172">
                  <c:v>0.21072796934865901</c:v>
                </c:pt>
                <c:pt idx="173">
                  <c:v>0.55967450271247743</c:v>
                </c:pt>
                <c:pt idx="174">
                  <c:v>0.36931216931216926</c:v>
                </c:pt>
                <c:pt idx="175">
                  <c:v>0.76026634382566582</c:v>
                </c:pt>
                <c:pt idx="176">
                  <c:v>0.67571059431524549</c:v>
                </c:pt>
                <c:pt idx="177">
                  <c:v>2.6907563025210086</c:v>
                </c:pt>
                <c:pt idx="178">
                  <c:v>9.7625329815303363E-2</c:v>
                </c:pt>
                <c:pt idx="179">
                  <c:v>0.19024390243902456</c:v>
                </c:pt>
                <c:pt idx="180">
                  <c:v>0.66137566137566162</c:v>
                </c:pt>
                <c:pt idx="181">
                  <c:v>0.81777777777777771</c:v>
                </c:pt>
                <c:pt idx="182">
                  <c:v>0</c:v>
                </c:pt>
                <c:pt idx="183">
                  <c:v>0.1408839779005524</c:v>
                </c:pt>
                <c:pt idx="184">
                  <c:v>4.9019607843137081E-3</c:v>
                </c:pt>
                <c:pt idx="185">
                  <c:v>0.46415094339622653</c:v>
                </c:pt>
                <c:pt idx="186">
                  <c:v>0.2975000000000001</c:v>
                </c:pt>
                <c:pt idx="187">
                  <c:v>0.17153284671532831</c:v>
                </c:pt>
                <c:pt idx="188">
                  <c:v>1.3783783783783785</c:v>
                </c:pt>
                <c:pt idx="189">
                  <c:v>1.3661971830985919</c:v>
                </c:pt>
                <c:pt idx="190">
                  <c:v>3.125</c:v>
                </c:pt>
                <c:pt idx="191">
                  <c:v>1.1086956521739131</c:v>
                </c:pt>
                <c:pt idx="192">
                  <c:v>0</c:v>
                </c:pt>
                <c:pt idx="193">
                  <c:v>2.2833333333333332</c:v>
                </c:pt>
                <c:pt idx="194">
                  <c:v>0.66666666666666674</c:v>
                </c:pt>
                <c:pt idx="195">
                  <c:v>4.5555555555555554</c:v>
                </c:pt>
                <c:pt idx="196">
                  <c:v>0.14999999999999991</c:v>
                </c:pt>
                <c:pt idx="197">
                  <c:v>1.5384615384615388</c:v>
                </c:pt>
                <c:pt idx="198">
                  <c:v>1.8333333333333335</c:v>
                </c:pt>
                <c:pt idx="199">
                  <c:v>1.6315789473684212</c:v>
                </c:pt>
                <c:pt idx="200">
                  <c:v>0.53125</c:v>
                </c:pt>
                <c:pt idx="201">
                  <c:v>0.26301369863013702</c:v>
                </c:pt>
                <c:pt idx="202">
                  <c:v>0.97584541062801944</c:v>
                </c:pt>
                <c:pt idx="203">
                  <c:v>0.68981481481481466</c:v>
                </c:pt>
                <c:pt idx="204">
                  <c:v>0.63934426229508223</c:v>
                </c:pt>
                <c:pt idx="205">
                  <c:v>0.4137931034482758</c:v>
                </c:pt>
                <c:pt idx="206">
                  <c:v>0.82608695652173902</c:v>
                </c:pt>
                <c:pt idx="207">
                  <c:v>0.11127819548872186</c:v>
                </c:pt>
                <c:pt idx="208">
                  <c:v>1.1510791366906479</c:v>
                </c:pt>
                <c:pt idx="209">
                  <c:v>0.18500000000000005</c:v>
                </c:pt>
                <c:pt idx="210">
                  <c:v>15.111111111111111</c:v>
                </c:pt>
                <c:pt idx="211">
                  <c:v>8.6153846153846168</c:v>
                </c:pt>
                <c:pt idx="212">
                  <c:v>3.986522911051213</c:v>
                </c:pt>
                <c:pt idx="213">
                  <c:v>0.59375</c:v>
                </c:pt>
                <c:pt idx="214">
                  <c:v>4.4629629629629628</c:v>
                </c:pt>
                <c:pt idx="215">
                  <c:v>105.25</c:v>
                </c:pt>
                <c:pt idx="216">
                  <c:v>11.546558704453439</c:v>
                </c:pt>
                <c:pt idx="217">
                  <c:v>0.23595505617977519</c:v>
                </c:pt>
                <c:pt idx="218">
                  <c:v>0.679245283018868</c:v>
                </c:pt>
                <c:pt idx="219">
                  <c:v>0.15202797202797202</c:v>
                </c:pt>
                <c:pt idx="220">
                  <c:v>0.23123123123123102</c:v>
                </c:pt>
                <c:pt idx="221">
                  <c:v>0.5</c:v>
                </c:pt>
                <c:pt idx="222">
                  <c:v>3.4158878504672892</c:v>
                </c:pt>
                <c:pt idx="223">
                  <c:v>1.1862745098039214</c:v>
                </c:pt>
                <c:pt idx="224">
                  <c:v>1.3160919540229887</c:v>
                </c:pt>
                <c:pt idx="225">
                  <c:v>0.89922480620155043</c:v>
                </c:pt>
                <c:pt idx="226">
                  <c:v>1.7631578947368425</c:v>
                </c:pt>
                <c:pt idx="227">
                  <c:v>4.7002881844380404</c:v>
                </c:pt>
                <c:pt idx="228">
                  <c:v>0.49769585253456228</c:v>
                </c:pt>
                <c:pt idx="229">
                  <c:v>0.72</c:v>
                </c:pt>
                <c:pt idx="230">
                  <c:v>0.68831168831168821</c:v>
                </c:pt>
                <c:pt idx="231">
                  <c:v>1.5978835978835981</c:v>
                </c:pt>
                <c:pt idx="232">
                  <c:v>3.7222222222222223</c:v>
                </c:pt>
                <c:pt idx="233">
                  <c:v>0.9576719576719579</c:v>
                </c:pt>
                <c:pt idx="234">
                  <c:v>0.4049586776859504</c:v>
                </c:pt>
                <c:pt idx="235">
                  <c:v>0.97169811320754684</c:v>
                </c:pt>
                <c:pt idx="236">
                  <c:v>0.91089108910891081</c:v>
                </c:pt>
                <c:pt idx="237">
                  <c:v>6.584269662921348</c:v>
                </c:pt>
                <c:pt idx="238">
                  <c:v>1.6774193548387095</c:v>
                </c:pt>
                <c:pt idx="239">
                  <c:v>1.5347222222222223</c:v>
                </c:pt>
                <c:pt idx="240">
                  <c:v>0.68217054263565879</c:v>
                </c:pt>
                <c:pt idx="241">
                  <c:v>1.0112359550561796</c:v>
                </c:pt>
                <c:pt idx="242">
                  <c:v>1.5906735751295336</c:v>
                </c:pt>
                <c:pt idx="243">
                  <c:v>7.7601078167115904</c:v>
                </c:pt>
                <c:pt idx="244">
                  <c:v>2.1962616822429903</c:v>
                </c:pt>
                <c:pt idx="245">
                  <c:v>0.77894736842105261</c:v>
                </c:pt>
                <c:pt idx="246">
                  <c:v>11.980952380952381</c:v>
                </c:pt>
                <c:pt idx="247">
                  <c:v>0.393877551020408</c:v>
                </c:pt>
                <c:pt idx="248">
                  <c:v>1.9636363636363634</c:v>
                </c:pt>
                <c:pt idx="249">
                  <c:v>1.4308943089430897</c:v>
                </c:pt>
                <c:pt idx="250">
                  <c:v>5.8775510204081636</c:v>
                </c:pt>
                <c:pt idx="251">
                  <c:v>8.3117408906882595</c:v>
                </c:pt>
                <c:pt idx="252">
                  <c:v>5.6412213740458004</c:v>
                </c:pt>
                <c:pt idx="253">
                  <c:v>4.522388059701492</c:v>
                </c:pt>
                <c:pt idx="254">
                  <c:v>3.0437158469945356</c:v>
                </c:pt>
                <c:pt idx="255">
                  <c:v>0.43611111111111112</c:v>
                </c:pt>
                <c:pt idx="256">
                  <c:v>2.2653061224489797</c:v>
                </c:pt>
                <c:pt idx="257">
                  <c:v>0.16630669546436305</c:v>
                </c:pt>
                <c:pt idx="258">
                  <c:v>1.158311345646438</c:v>
                </c:pt>
                <c:pt idx="259">
                  <c:v>3.8675373134328357</c:v>
                </c:pt>
                <c:pt idx="260">
                  <c:v>0.96722408026755824</c:v>
                </c:pt>
                <c:pt idx="261">
                  <c:v>4.8391959798994968</c:v>
                </c:pt>
                <c:pt idx="262">
                  <c:v>0.41295546558704443</c:v>
                </c:pt>
                <c:pt idx="263">
                  <c:v>1.2592592592592591</c:v>
                </c:pt>
                <c:pt idx="264">
                  <c:v>3.9610389610389607</c:v>
                </c:pt>
                <c:pt idx="265">
                  <c:v>3.179347826086957</c:v>
                </c:pt>
                <c:pt idx="266">
                  <c:v>1535.9230769230771</c:v>
                </c:pt>
                <c:pt idx="267">
                  <c:v>2.2083333333333335</c:v>
                </c:pt>
                <c:pt idx="268">
                  <c:v>4.957243816254417</c:v>
                </c:pt>
                <c:pt idx="269">
                  <c:v>1.8192771084337349</c:v>
                </c:pt>
                <c:pt idx="270">
                  <c:v>1.2967032967032965</c:v>
                </c:pt>
                <c:pt idx="271">
                  <c:v>0.5490196078431373</c:v>
                </c:pt>
                <c:pt idx="272">
                  <c:v>1.552204176334107</c:v>
                </c:pt>
                <c:pt idx="273">
                  <c:v>2.1554054054054053</c:v>
                </c:pt>
                <c:pt idx="274">
                  <c:v>0.85813953488372108</c:v>
                </c:pt>
                <c:pt idx="275">
                  <c:v>1.7540983606557377</c:v>
                </c:pt>
                <c:pt idx="276">
                  <c:v>1.2021276595744679</c:v>
                </c:pt>
                <c:pt idx="277">
                  <c:v>1.7307692307692304</c:v>
                </c:pt>
                <c:pt idx="278">
                  <c:v>1.2576112412177989</c:v>
                </c:pt>
                <c:pt idx="279">
                  <c:v>3.1847133757961785</c:v>
                </c:pt>
                <c:pt idx="280">
                  <c:v>1.9661016949152543</c:v>
                </c:pt>
                <c:pt idx="281">
                  <c:v>10.627118644067798</c:v>
                </c:pt>
                <c:pt idx="282">
                  <c:v>1.8767123287671232</c:v>
                </c:pt>
                <c:pt idx="283">
                  <c:v>1.5906735751295336</c:v>
                </c:pt>
                <c:pt idx="284">
                  <c:v>26.051724137931036</c:v>
                </c:pt>
                <c:pt idx="285">
                  <c:v>57.817460317460316</c:v>
                </c:pt>
                <c:pt idx="286">
                  <c:v>5.4189189189189184</c:v>
                </c:pt>
                <c:pt idx="287">
                  <c:v>0.94945848375451281</c:v>
                </c:pt>
                <c:pt idx="288">
                  <c:v>11.773722627737225</c:v>
                </c:pt>
                <c:pt idx="289">
                  <c:v>0.35463258785942497</c:v>
                </c:pt>
                <c:pt idx="290">
                  <c:v>2.9740740740740739</c:v>
                </c:pt>
                <c:pt idx="291">
                  <c:v>39.361990950226243</c:v>
                </c:pt>
                <c:pt idx="292">
                  <c:v>0.95945945945945943</c:v>
                </c:pt>
                <c:pt idx="293">
                  <c:v>2.0627450980392159</c:v>
                </c:pt>
                <c:pt idx="294">
                  <c:v>1.1494252873563218</c:v>
                </c:pt>
                <c:pt idx="295">
                  <c:v>2.5542168674698797</c:v>
                </c:pt>
                <c:pt idx="296">
                  <c:v>3.9459459459459465</c:v>
                </c:pt>
                <c:pt idx="297">
                  <c:v>23.363636363636363</c:v>
                </c:pt>
                <c:pt idx="298">
                  <c:v>3.7767857142857135</c:v>
                </c:pt>
                <c:pt idx="299">
                  <c:v>26.897435897435898</c:v>
                </c:pt>
                <c:pt idx="300">
                  <c:v>4.2175438596491226</c:v>
                </c:pt>
                <c:pt idx="301">
                  <c:v>3.1516245487364625</c:v>
                </c:pt>
                <c:pt idx="302">
                  <c:v>1.943548387096774</c:v>
                </c:pt>
                <c:pt idx="303">
                  <c:v>2.2531400966183579</c:v>
                </c:pt>
                <c:pt idx="304">
                  <c:v>13.798850574712645</c:v>
                </c:pt>
                <c:pt idx="305">
                  <c:v>5.7407407407407405</c:v>
                </c:pt>
                <c:pt idx="306">
                  <c:v>0.5</c:v>
                </c:pt>
                <c:pt idx="307">
                  <c:v>177.1081081081081</c:v>
                </c:pt>
                <c:pt idx="308">
                  <c:v>10.212121212121211</c:v>
                </c:pt>
                <c:pt idx="309">
                  <c:v>0.33720930232558155</c:v>
                </c:pt>
                <c:pt idx="310">
                  <c:v>3.894327030033371</c:v>
                </c:pt>
                <c:pt idx="311">
                  <c:v>0.46627565982404717</c:v>
                </c:pt>
                <c:pt idx="312">
                  <c:v>186.64705882352942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EE-4026-9211-6B2AB4E31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623999"/>
        <c:axId val="1744647295"/>
      </c:scatterChart>
      <c:valAx>
        <c:axId val="174462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Tweets 5 days before buy</a:t>
                </a:r>
              </a:p>
            </c:rich>
          </c:tx>
          <c:layout>
            <c:manualLayout>
              <c:xMode val="edge"/>
              <c:yMode val="edge"/>
              <c:x val="0.36708241480580928"/>
              <c:y val="0.920866693615522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108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47295"/>
        <c:crosses val="autoZero"/>
        <c:crossBetween val="midCat"/>
      </c:valAx>
      <c:valAx>
        <c:axId val="17446472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%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2399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Social</a:t>
            </a:r>
            <a:r>
              <a:rPr lang="en-US" baseline="0"/>
              <a:t> Sentiment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PeakVsDiff50Ma</c:v>
          </c:tx>
          <c:spPr>
            <a:ln w="25400" cap="rnd">
              <a:noFill/>
              <a:prstDash val="solid"/>
            </a:ln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</c:marker>
          <c:xVal>
            <c:numRef>
              <c:f>Stocks!$G$6:$G$318</c:f>
              <c:numCache>
                <c:formatCode>m/d/yyyy</c:formatCode>
                <c:ptCount val="313"/>
                <c:pt idx="0">
                  <c:v>44417</c:v>
                </c:pt>
                <c:pt idx="1">
                  <c:v>44417</c:v>
                </c:pt>
                <c:pt idx="2">
                  <c:v>44417</c:v>
                </c:pt>
                <c:pt idx="3">
                  <c:v>44417</c:v>
                </c:pt>
                <c:pt idx="4">
                  <c:v>44417</c:v>
                </c:pt>
                <c:pt idx="5">
                  <c:v>44413</c:v>
                </c:pt>
                <c:pt idx="6">
                  <c:v>44413</c:v>
                </c:pt>
                <c:pt idx="7">
                  <c:v>44413</c:v>
                </c:pt>
                <c:pt idx="8">
                  <c:v>44406</c:v>
                </c:pt>
                <c:pt idx="9">
                  <c:v>44406</c:v>
                </c:pt>
                <c:pt idx="10">
                  <c:v>44406</c:v>
                </c:pt>
                <c:pt idx="11">
                  <c:v>44399</c:v>
                </c:pt>
                <c:pt idx="12">
                  <c:v>44399</c:v>
                </c:pt>
                <c:pt idx="13">
                  <c:v>44398</c:v>
                </c:pt>
                <c:pt idx="14">
                  <c:v>44397</c:v>
                </c:pt>
                <c:pt idx="15">
                  <c:v>44397</c:v>
                </c:pt>
                <c:pt idx="16">
                  <c:v>44396</c:v>
                </c:pt>
                <c:pt idx="17">
                  <c:v>44392</c:v>
                </c:pt>
                <c:pt idx="18">
                  <c:v>44392</c:v>
                </c:pt>
                <c:pt idx="19">
                  <c:v>44392</c:v>
                </c:pt>
                <c:pt idx="20">
                  <c:v>44391</c:v>
                </c:pt>
                <c:pt idx="21">
                  <c:v>44391</c:v>
                </c:pt>
                <c:pt idx="22">
                  <c:v>44390</c:v>
                </c:pt>
                <c:pt idx="23">
                  <c:v>44390</c:v>
                </c:pt>
                <c:pt idx="24">
                  <c:v>44389</c:v>
                </c:pt>
                <c:pt idx="25">
                  <c:v>44389</c:v>
                </c:pt>
                <c:pt idx="26">
                  <c:v>44389</c:v>
                </c:pt>
                <c:pt idx="27">
                  <c:v>44386</c:v>
                </c:pt>
                <c:pt idx="28">
                  <c:v>44385</c:v>
                </c:pt>
                <c:pt idx="29">
                  <c:v>44385</c:v>
                </c:pt>
                <c:pt idx="30">
                  <c:v>44384</c:v>
                </c:pt>
                <c:pt idx="31">
                  <c:v>44383</c:v>
                </c:pt>
                <c:pt idx="32">
                  <c:v>44383</c:v>
                </c:pt>
                <c:pt idx="33">
                  <c:v>44383</c:v>
                </c:pt>
                <c:pt idx="34">
                  <c:v>44379</c:v>
                </c:pt>
                <c:pt idx="35">
                  <c:v>44379</c:v>
                </c:pt>
                <c:pt idx="36">
                  <c:v>44378</c:v>
                </c:pt>
                <c:pt idx="37">
                  <c:v>44378</c:v>
                </c:pt>
                <c:pt idx="38">
                  <c:v>44377</c:v>
                </c:pt>
                <c:pt idx="39">
                  <c:v>44377</c:v>
                </c:pt>
                <c:pt idx="40">
                  <c:v>44376</c:v>
                </c:pt>
                <c:pt idx="41">
                  <c:v>44376</c:v>
                </c:pt>
                <c:pt idx="42">
                  <c:v>44375</c:v>
                </c:pt>
                <c:pt idx="43">
                  <c:v>44375</c:v>
                </c:pt>
                <c:pt idx="44">
                  <c:v>44375</c:v>
                </c:pt>
                <c:pt idx="45">
                  <c:v>44371</c:v>
                </c:pt>
                <c:pt idx="46">
                  <c:v>44370</c:v>
                </c:pt>
                <c:pt idx="47">
                  <c:v>44370</c:v>
                </c:pt>
                <c:pt idx="48">
                  <c:v>44370</c:v>
                </c:pt>
                <c:pt idx="49">
                  <c:v>44368</c:v>
                </c:pt>
                <c:pt idx="50">
                  <c:v>44368</c:v>
                </c:pt>
                <c:pt idx="51">
                  <c:v>44365</c:v>
                </c:pt>
                <c:pt idx="52">
                  <c:v>44365</c:v>
                </c:pt>
                <c:pt idx="53">
                  <c:v>44364</c:v>
                </c:pt>
                <c:pt idx="54">
                  <c:v>44364</c:v>
                </c:pt>
                <c:pt idx="55">
                  <c:v>44361</c:v>
                </c:pt>
                <c:pt idx="56">
                  <c:v>44361</c:v>
                </c:pt>
                <c:pt idx="57">
                  <c:v>44361</c:v>
                </c:pt>
                <c:pt idx="58">
                  <c:v>44361</c:v>
                </c:pt>
                <c:pt idx="59">
                  <c:v>44361</c:v>
                </c:pt>
                <c:pt idx="60">
                  <c:v>44361</c:v>
                </c:pt>
                <c:pt idx="61">
                  <c:v>44361</c:v>
                </c:pt>
                <c:pt idx="62">
                  <c:v>44361</c:v>
                </c:pt>
                <c:pt idx="63">
                  <c:v>44361</c:v>
                </c:pt>
                <c:pt idx="64">
                  <c:v>44361</c:v>
                </c:pt>
                <c:pt idx="65">
                  <c:v>44357</c:v>
                </c:pt>
                <c:pt idx="66">
                  <c:v>44357</c:v>
                </c:pt>
                <c:pt idx="67">
                  <c:v>44357</c:v>
                </c:pt>
                <c:pt idx="68">
                  <c:v>44356</c:v>
                </c:pt>
                <c:pt idx="69">
                  <c:v>44356</c:v>
                </c:pt>
                <c:pt idx="70">
                  <c:v>44355</c:v>
                </c:pt>
                <c:pt idx="71">
                  <c:v>44351</c:v>
                </c:pt>
                <c:pt idx="72">
                  <c:v>44351</c:v>
                </c:pt>
                <c:pt idx="73">
                  <c:v>44351</c:v>
                </c:pt>
                <c:pt idx="74">
                  <c:v>44351</c:v>
                </c:pt>
                <c:pt idx="75">
                  <c:v>44351</c:v>
                </c:pt>
                <c:pt idx="76">
                  <c:v>44351</c:v>
                </c:pt>
                <c:pt idx="77">
                  <c:v>44351</c:v>
                </c:pt>
                <c:pt idx="78">
                  <c:v>44351</c:v>
                </c:pt>
                <c:pt idx="79">
                  <c:v>44351</c:v>
                </c:pt>
                <c:pt idx="80">
                  <c:v>44351</c:v>
                </c:pt>
                <c:pt idx="81">
                  <c:v>44344</c:v>
                </c:pt>
                <c:pt idx="82">
                  <c:v>44342</c:v>
                </c:pt>
                <c:pt idx="83">
                  <c:v>44342</c:v>
                </c:pt>
                <c:pt idx="84">
                  <c:v>44342</c:v>
                </c:pt>
                <c:pt idx="85">
                  <c:v>44342</c:v>
                </c:pt>
                <c:pt idx="86">
                  <c:v>44342</c:v>
                </c:pt>
                <c:pt idx="87">
                  <c:v>44341</c:v>
                </c:pt>
                <c:pt idx="88">
                  <c:v>44341</c:v>
                </c:pt>
                <c:pt idx="89">
                  <c:v>44340</c:v>
                </c:pt>
                <c:pt idx="90">
                  <c:v>44340</c:v>
                </c:pt>
                <c:pt idx="91">
                  <c:v>44340</c:v>
                </c:pt>
                <c:pt idx="92">
                  <c:v>44340</c:v>
                </c:pt>
                <c:pt idx="93">
                  <c:v>44340</c:v>
                </c:pt>
                <c:pt idx="94">
                  <c:v>44340</c:v>
                </c:pt>
                <c:pt idx="95">
                  <c:v>44340</c:v>
                </c:pt>
                <c:pt idx="96">
                  <c:v>44340</c:v>
                </c:pt>
                <c:pt idx="97">
                  <c:v>44337</c:v>
                </c:pt>
                <c:pt idx="98">
                  <c:v>44337</c:v>
                </c:pt>
                <c:pt idx="99">
                  <c:v>44337</c:v>
                </c:pt>
                <c:pt idx="100">
                  <c:v>44337</c:v>
                </c:pt>
                <c:pt idx="101">
                  <c:v>44336</c:v>
                </c:pt>
                <c:pt idx="102">
                  <c:v>44336</c:v>
                </c:pt>
                <c:pt idx="103">
                  <c:v>44336</c:v>
                </c:pt>
                <c:pt idx="104">
                  <c:v>44336</c:v>
                </c:pt>
                <c:pt idx="105">
                  <c:v>44336</c:v>
                </c:pt>
                <c:pt idx="106">
                  <c:v>44336</c:v>
                </c:pt>
                <c:pt idx="107">
                  <c:v>44336</c:v>
                </c:pt>
                <c:pt idx="108">
                  <c:v>44336</c:v>
                </c:pt>
                <c:pt idx="109">
                  <c:v>44336</c:v>
                </c:pt>
                <c:pt idx="110">
                  <c:v>44335</c:v>
                </c:pt>
                <c:pt idx="111">
                  <c:v>44335</c:v>
                </c:pt>
                <c:pt idx="112">
                  <c:v>44335</c:v>
                </c:pt>
                <c:pt idx="113">
                  <c:v>44335</c:v>
                </c:pt>
                <c:pt idx="114">
                  <c:v>44335</c:v>
                </c:pt>
                <c:pt idx="115">
                  <c:v>44335</c:v>
                </c:pt>
                <c:pt idx="116">
                  <c:v>44334</c:v>
                </c:pt>
                <c:pt idx="117">
                  <c:v>44334</c:v>
                </c:pt>
                <c:pt idx="118">
                  <c:v>44334</c:v>
                </c:pt>
                <c:pt idx="119">
                  <c:v>44334</c:v>
                </c:pt>
                <c:pt idx="120">
                  <c:v>44334</c:v>
                </c:pt>
                <c:pt idx="121">
                  <c:v>44334</c:v>
                </c:pt>
                <c:pt idx="122">
                  <c:v>44334</c:v>
                </c:pt>
                <c:pt idx="123">
                  <c:v>44334</c:v>
                </c:pt>
                <c:pt idx="124">
                  <c:v>44334</c:v>
                </c:pt>
                <c:pt idx="125">
                  <c:v>44333</c:v>
                </c:pt>
                <c:pt idx="126">
                  <c:v>44332</c:v>
                </c:pt>
                <c:pt idx="127">
                  <c:v>44329</c:v>
                </c:pt>
                <c:pt idx="128">
                  <c:v>44329</c:v>
                </c:pt>
                <c:pt idx="129">
                  <c:v>44329</c:v>
                </c:pt>
                <c:pt idx="130">
                  <c:v>44328</c:v>
                </c:pt>
                <c:pt idx="131">
                  <c:v>44327</c:v>
                </c:pt>
                <c:pt idx="132">
                  <c:v>44326</c:v>
                </c:pt>
                <c:pt idx="133">
                  <c:v>44323</c:v>
                </c:pt>
                <c:pt idx="134">
                  <c:v>44323</c:v>
                </c:pt>
                <c:pt idx="135">
                  <c:v>44321</c:v>
                </c:pt>
                <c:pt idx="136">
                  <c:v>44316</c:v>
                </c:pt>
                <c:pt idx="137">
                  <c:v>44314</c:v>
                </c:pt>
                <c:pt idx="138">
                  <c:v>44312</c:v>
                </c:pt>
                <c:pt idx="139">
                  <c:v>44308</c:v>
                </c:pt>
                <c:pt idx="140">
                  <c:v>44306</c:v>
                </c:pt>
                <c:pt idx="141">
                  <c:v>44306</c:v>
                </c:pt>
                <c:pt idx="142">
                  <c:v>44294</c:v>
                </c:pt>
                <c:pt idx="143">
                  <c:v>44293</c:v>
                </c:pt>
                <c:pt idx="144">
                  <c:v>44293</c:v>
                </c:pt>
                <c:pt idx="145">
                  <c:v>44292</c:v>
                </c:pt>
                <c:pt idx="146">
                  <c:v>44287</c:v>
                </c:pt>
                <c:pt idx="147">
                  <c:v>44284</c:v>
                </c:pt>
                <c:pt idx="148">
                  <c:v>44284</c:v>
                </c:pt>
                <c:pt idx="149">
                  <c:v>44284</c:v>
                </c:pt>
                <c:pt idx="150">
                  <c:v>44284</c:v>
                </c:pt>
                <c:pt idx="151">
                  <c:v>44284</c:v>
                </c:pt>
                <c:pt idx="152">
                  <c:v>44284</c:v>
                </c:pt>
                <c:pt idx="153">
                  <c:v>44284</c:v>
                </c:pt>
                <c:pt idx="154">
                  <c:v>44284</c:v>
                </c:pt>
                <c:pt idx="155">
                  <c:v>44284</c:v>
                </c:pt>
                <c:pt idx="156">
                  <c:v>44284</c:v>
                </c:pt>
                <c:pt idx="157">
                  <c:v>44284</c:v>
                </c:pt>
                <c:pt idx="158">
                  <c:v>44284</c:v>
                </c:pt>
                <c:pt idx="159">
                  <c:v>44280</c:v>
                </c:pt>
                <c:pt idx="160">
                  <c:v>44280</c:v>
                </c:pt>
                <c:pt idx="161">
                  <c:v>44277</c:v>
                </c:pt>
                <c:pt idx="162">
                  <c:v>44277</c:v>
                </c:pt>
                <c:pt idx="163">
                  <c:v>44277</c:v>
                </c:pt>
                <c:pt idx="164">
                  <c:v>44277</c:v>
                </c:pt>
                <c:pt idx="165">
                  <c:v>44277</c:v>
                </c:pt>
                <c:pt idx="166">
                  <c:v>44277</c:v>
                </c:pt>
                <c:pt idx="167">
                  <c:v>44277</c:v>
                </c:pt>
                <c:pt idx="168">
                  <c:v>44277</c:v>
                </c:pt>
                <c:pt idx="169">
                  <c:v>44277</c:v>
                </c:pt>
                <c:pt idx="170">
                  <c:v>44257</c:v>
                </c:pt>
                <c:pt idx="171">
                  <c:v>44253</c:v>
                </c:pt>
                <c:pt idx="172">
                  <c:v>44253</c:v>
                </c:pt>
                <c:pt idx="173">
                  <c:v>44252</c:v>
                </c:pt>
                <c:pt idx="174">
                  <c:v>44252</c:v>
                </c:pt>
                <c:pt idx="175">
                  <c:v>44251</c:v>
                </c:pt>
                <c:pt idx="176">
                  <c:v>44251</c:v>
                </c:pt>
                <c:pt idx="177">
                  <c:v>44251</c:v>
                </c:pt>
                <c:pt idx="178">
                  <c:v>44251</c:v>
                </c:pt>
                <c:pt idx="179">
                  <c:v>44251</c:v>
                </c:pt>
                <c:pt idx="180">
                  <c:v>44250</c:v>
                </c:pt>
                <c:pt idx="181">
                  <c:v>44249</c:v>
                </c:pt>
                <c:pt idx="182">
                  <c:v>44249</c:v>
                </c:pt>
                <c:pt idx="183">
                  <c:v>44245</c:v>
                </c:pt>
                <c:pt idx="184">
                  <c:v>44243</c:v>
                </c:pt>
                <c:pt idx="185">
                  <c:v>44243</c:v>
                </c:pt>
                <c:pt idx="186">
                  <c:v>44243</c:v>
                </c:pt>
                <c:pt idx="187">
                  <c:v>44243</c:v>
                </c:pt>
                <c:pt idx="188">
                  <c:v>44236</c:v>
                </c:pt>
                <c:pt idx="189">
                  <c:v>44236</c:v>
                </c:pt>
                <c:pt idx="190">
                  <c:v>44236</c:v>
                </c:pt>
                <c:pt idx="191">
                  <c:v>44236</c:v>
                </c:pt>
                <c:pt idx="192">
                  <c:v>44236</c:v>
                </c:pt>
                <c:pt idx="193">
                  <c:v>44236</c:v>
                </c:pt>
                <c:pt idx="194">
                  <c:v>44236</c:v>
                </c:pt>
                <c:pt idx="195">
                  <c:v>44236</c:v>
                </c:pt>
                <c:pt idx="196">
                  <c:v>44236</c:v>
                </c:pt>
                <c:pt idx="197">
                  <c:v>44236</c:v>
                </c:pt>
                <c:pt idx="198">
                  <c:v>44236</c:v>
                </c:pt>
                <c:pt idx="199">
                  <c:v>44236</c:v>
                </c:pt>
                <c:pt idx="200">
                  <c:v>44232</c:v>
                </c:pt>
                <c:pt idx="201">
                  <c:v>44232</c:v>
                </c:pt>
                <c:pt idx="202">
                  <c:v>44232</c:v>
                </c:pt>
                <c:pt idx="203">
                  <c:v>44232</c:v>
                </c:pt>
                <c:pt idx="204">
                  <c:v>44232</c:v>
                </c:pt>
                <c:pt idx="205">
                  <c:v>44232</c:v>
                </c:pt>
                <c:pt idx="206">
                  <c:v>44232</c:v>
                </c:pt>
                <c:pt idx="207">
                  <c:v>44232</c:v>
                </c:pt>
                <c:pt idx="208">
                  <c:v>44232</c:v>
                </c:pt>
                <c:pt idx="209">
                  <c:v>44232</c:v>
                </c:pt>
                <c:pt idx="210">
                  <c:v>44232</c:v>
                </c:pt>
                <c:pt idx="211">
                  <c:v>44225</c:v>
                </c:pt>
                <c:pt idx="212">
                  <c:v>44224</c:v>
                </c:pt>
                <c:pt idx="213">
                  <c:v>44223</c:v>
                </c:pt>
                <c:pt idx="214">
                  <c:v>44221</c:v>
                </c:pt>
                <c:pt idx="215">
                  <c:v>44221</c:v>
                </c:pt>
                <c:pt idx="216">
                  <c:v>44218</c:v>
                </c:pt>
                <c:pt idx="217">
                  <c:v>44218</c:v>
                </c:pt>
                <c:pt idx="218">
                  <c:v>44218</c:v>
                </c:pt>
                <c:pt idx="219">
                  <c:v>44218</c:v>
                </c:pt>
                <c:pt idx="220">
                  <c:v>44218</c:v>
                </c:pt>
                <c:pt idx="221">
                  <c:v>44218</c:v>
                </c:pt>
                <c:pt idx="222">
                  <c:v>44218</c:v>
                </c:pt>
                <c:pt idx="223">
                  <c:v>44218</c:v>
                </c:pt>
                <c:pt idx="224">
                  <c:v>44218</c:v>
                </c:pt>
                <c:pt idx="225">
                  <c:v>44218</c:v>
                </c:pt>
                <c:pt idx="226">
                  <c:v>44218</c:v>
                </c:pt>
                <c:pt idx="227">
                  <c:v>44217</c:v>
                </c:pt>
                <c:pt idx="228">
                  <c:v>44213</c:v>
                </c:pt>
                <c:pt idx="229">
                  <c:v>44211</c:v>
                </c:pt>
                <c:pt idx="230">
                  <c:v>44210</c:v>
                </c:pt>
                <c:pt idx="231">
                  <c:v>44210</c:v>
                </c:pt>
                <c:pt idx="232">
                  <c:v>44210</c:v>
                </c:pt>
                <c:pt idx="233">
                  <c:v>44210</c:v>
                </c:pt>
                <c:pt idx="234">
                  <c:v>44210</c:v>
                </c:pt>
                <c:pt idx="235">
                  <c:v>44210</c:v>
                </c:pt>
                <c:pt idx="236">
                  <c:v>44210</c:v>
                </c:pt>
                <c:pt idx="237">
                  <c:v>44210</c:v>
                </c:pt>
                <c:pt idx="238">
                  <c:v>44210</c:v>
                </c:pt>
                <c:pt idx="239">
                  <c:v>44210</c:v>
                </c:pt>
                <c:pt idx="240">
                  <c:v>44210</c:v>
                </c:pt>
                <c:pt idx="241">
                  <c:v>44204</c:v>
                </c:pt>
                <c:pt idx="242">
                  <c:v>44204</c:v>
                </c:pt>
                <c:pt idx="243">
                  <c:v>44204</c:v>
                </c:pt>
                <c:pt idx="244">
                  <c:v>44204</c:v>
                </c:pt>
                <c:pt idx="245">
                  <c:v>44204</c:v>
                </c:pt>
                <c:pt idx="246">
                  <c:v>44204</c:v>
                </c:pt>
                <c:pt idx="247">
                  <c:v>44204</c:v>
                </c:pt>
                <c:pt idx="248">
                  <c:v>44204</c:v>
                </c:pt>
                <c:pt idx="249">
                  <c:v>44204</c:v>
                </c:pt>
                <c:pt idx="250">
                  <c:v>44204</c:v>
                </c:pt>
                <c:pt idx="251">
                  <c:v>44202</c:v>
                </c:pt>
                <c:pt idx="252">
                  <c:v>44200</c:v>
                </c:pt>
                <c:pt idx="253">
                  <c:v>44200</c:v>
                </c:pt>
                <c:pt idx="254">
                  <c:v>44200</c:v>
                </c:pt>
                <c:pt idx="255">
                  <c:v>44200</c:v>
                </c:pt>
                <c:pt idx="256">
                  <c:v>44200</c:v>
                </c:pt>
                <c:pt idx="257">
                  <c:v>44200</c:v>
                </c:pt>
                <c:pt idx="258">
                  <c:v>44200</c:v>
                </c:pt>
                <c:pt idx="259">
                  <c:v>44200</c:v>
                </c:pt>
                <c:pt idx="260">
                  <c:v>44200</c:v>
                </c:pt>
                <c:pt idx="261">
                  <c:v>44200</c:v>
                </c:pt>
                <c:pt idx="262">
                  <c:v>44200</c:v>
                </c:pt>
                <c:pt idx="263">
                  <c:v>44200</c:v>
                </c:pt>
                <c:pt idx="264">
                  <c:v>44200</c:v>
                </c:pt>
                <c:pt idx="265">
                  <c:v>44200</c:v>
                </c:pt>
                <c:pt idx="266">
                  <c:v>44200</c:v>
                </c:pt>
                <c:pt idx="267">
                  <c:v>44193</c:v>
                </c:pt>
                <c:pt idx="268">
                  <c:v>44193</c:v>
                </c:pt>
                <c:pt idx="269">
                  <c:v>44193</c:v>
                </c:pt>
                <c:pt idx="270">
                  <c:v>44193</c:v>
                </c:pt>
                <c:pt idx="271">
                  <c:v>44193</c:v>
                </c:pt>
                <c:pt idx="272">
                  <c:v>44193</c:v>
                </c:pt>
                <c:pt idx="273">
                  <c:v>44193</c:v>
                </c:pt>
                <c:pt idx="274">
                  <c:v>44193</c:v>
                </c:pt>
                <c:pt idx="275">
                  <c:v>44193</c:v>
                </c:pt>
                <c:pt idx="276">
                  <c:v>44187</c:v>
                </c:pt>
                <c:pt idx="277">
                  <c:v>44186</c:v>
                </c:pt>
                <c:pt idx="278">
                  <c:v>44186</c:v>
                </c:pt>
                <c:pt idx="279">
                  <c:v>44186</c:v>
                </c:pt>
                <c:pt idx="280">
                  <c:v>44186</c:v>
                </c:pt>
                <c:pt idx="281">
                  <c:v>44186</c:v>
                </c:pt>
                <c:pt idx="282">
                  <c:v>44186</c:v>
                </c:pt>
                <c:pt idx="283">
                  <c:v>44186</c:v>
                </c:pt>
                <c:pt idx="284">
                  <c:v>44186</c:v>
                </c:pt>
                <c:pt idx="285">
                  <c:v>44182</c:v>
                </c:pt>
                <c:pt idx="286">
                  <c:v>44176</c:v>
                </c:pt>
                <c:pt idx="287">
                  <c:v>44162</c:v>
                </c:pt>
                <c:pt idx="288">
                  <c:v>44162</c:v>
                </c:pt>
                <c:pt idx="289">
                  <c:v>44162</c:v>
                </c:pt>
                <c:pt idx="290">
                  <c:v>44148</c:v>
                </c:pt>
                <c:pt idx="291">
                  <c:v>44138</c:v>
                </c:pt>
                <c:pt idx="292">
                  <c:v>44132</c:v>
                </c:pt>
                <c:pt idx="293">
                  <c:v>44130</c:v>
                </c:pt>
                <c:pt idx="294">
                  <c:v>44130</c:v>
                </c:pt>
                <c:pt idx="295">
                  <c:v>44130</c:v>
                </c:pt>
                <c:pt idx="296">
                  <c:v>44118</c:v>
                </c:pt>
                <c:pt idx="297">
                  <c:v>44118</c:v>
                </c:pt>
                <c:pt idx="298">
                  <c:v>44116</c:v>
                </c:pt>
                <c:pt idx="299">
                  <c:v>44116</c:v>
                </c:pt>
                <c:pt idx="300">
                  <c:v>44113</c:v>
                </c:pt>
                <c:pt idx="301">
                  <c:v>44111</c:v>
                </c:pt>
                <c:pt idx="302">
                  <c:v>44109</c:v>
                </c:pt>
                <c:pt idx="303">
                  <c:v>44103</c:v>
                </c:pt>
                <c:pt idx="304">
                  <c:v>44057</c:v>
                </c:pt>
                <c:pt idx="305">
                  <c:v>44057</c:v>
                </c:pt>
                <c:pt idx="306">
                  <c:v>44057</c:v>
                </c:pt>
                <c:pt idx="307">
                  <c:v>44057</c:v>
                </c:pt>
                <c:pt idx="308">
                  <c:v>44057</c:v>
                </c:pt>
                <c:pt idx="309">
                  <c:v>44057</c:v>
                </c:pt>
                <c:pt idx="310">
                  <c:v>44057</c:v>
                </c:pt>
                <c:pt idx="311">
                  <c:v>44057</c:v>
                </c:pt>
                <c:pt idx="312">
                  <c:v>44042</c:v>
                </c:pt>
              </c:numCache>
            </c:numRef>
          </c:xVal>
          <c:yVal>
            <c:numRef>
              <c:f>Stocks!$L$6:$L$318</c:f>
              <c:numCache>
                <c:formatCode>0.00%</c:formatCode>
                <c:ptCount val="313"/>
                <c:pt idx="0">
                  <c:v>0.10476190476190461</c:v>
                </c:pt>
                <c:pt idx="1">
                  <c:v>2.3041474654378113E-2</c:v>
                </c:pt>
                <c:pt idx="2">
                  <c:v>4.9342105263157965E-2</c:v>
                </c:pt>
                <c:pt idx="3">
                  <c:v>0.74725274725274726</c:v>
                </c:pt>
                <c:pt idx="4">
                  <c:v>3.01111111111112E-2</c:v>
                </c:pt>
                <c:pt idx="5">
                  <c:v>8.7499999999999911E-2</c:v>
                </c:pt>
                <c:pt idx="6">
                  <c:v>6.3780487804877994E-2</c:v>
                </c:pt>
                <c:pt idx="7">
                  <c:v>1.8774559743850894E-2</c:v>
                </c:pt>
                <c:pt idx="8">
                  <c:v>0.64655172413793105</c:v>
                </c:pt>
                <c:pt idx="9">
                  <c:v>7.6335877862594437E-3</c:v>
                </c:pt>
                <c:pt idx="10">
                  <c:v>6.3829787234042534E-2</c:v>
                </c:pt>
                <c:pt idx="11">
                  <c:v>0.29281767955801086</c:v>
                </c:pt>
                <c:pt idx="12">
                  <c:v>0.16030534351145032</c:v>
                </c:pt>
                <c:pt idx="13">
                  <c:v>0.27803738317756999</c:v>
                </c:pt>
                <c:pt idx="14">
                  <c:v>0.51063829787234027</c:v>
                </c:pt>
                <c:pt idx="15">
                  <c:v>0.15044247787610621</c:v>
                </c:pt>
                <c:pt idx="16">
                  <c:v>0.19999999999999996</c:v>
                </c:pt>
                <c:pt idx="17">
                  <c:v>0.15025906735751304</c:v>
                </c:pt>
                <c:pt idx="18">
                  <c:v>0.16550522648083632</c:v>
                </c:pt>
                <c:pt idx="19">
                  <c:v>0.15835140997830788</c:v>
                </c:pt>
                <c:pt idx="20">
                  <c:v>0.37790697674418605</c:v>
                </c:pt>
                <c:pt idx="21">
                  <c:v>0.17380352644836261</c:v>
                </c:pt>
                <c:pt idx="22">
                  <c:v>0.14563758389261738</c:v>
                </c:pt>
                <c:pt idx="23">
                  <c:v>0.88888888888888884</c:v>
                </c:pt>
                <c:pt idx="24">
                  <c:v>0.26791866028708133</c:v>
                </c:pt>
                <c:pt idx="25">
                  <c:v>2.3923444976076791E-2</c:v>
                </c:pt>
                <c:pt idx="26">
                  <c:v>1.9148936170212627E-2</c:v>
                </c:pt>
                <c:pt idx="27">
                  <c:v>0.18090909090909091</c:v>
                </c:pt>
                <c:pt idx="28">
                  <c:v>0.1333333333333333</c:v>
                </c:pt>
                <c:pt idx="29">
                  <c:v>0.23762376237623761</c:v>
                </c:pt>
                <c:pt idx="30">
                  <c:v>0.42245989304812825</c:v>
                </c:pt>
                <c:pt idx="31">
                  <c:v>0.26818181818181808</c:v>
                </c:pt>
                <c:pt idx="32">
                  <c:v>0.22135416666666674</c:v>
                </c:pt>
                <c:pt idx="33">
                  <c:v>0.13654618473895574</c:v>
                </c:pt>
                <c:pt idx="34">
                  <c:v>0.26249999999999996</c:v>
                </c:pt>
                <c:pt idx="35">
                  <c:v>5.2173913043478404E-2</c:v>
                </c:pt>
                <c:pt idx="36">
                  <c:v>0.23031496062992129</c:v>
                </c:pt>
                <c:pt idx="37">
                  <c:v>2.5404157043879882E-2</c:v>
                </c:pt>
                <c:pt idx="38">
                  <c:v>0.60194174757281571</c:v>
                </c:pt>
                <c:pt idx="39">
                  <c:v>0.58723404255319145</c:v>
                </c:pt>
                <c:pt idx="40">
                  <c:v>0.25161073825503366</c:v>
                </c:pt>
                <c:pt idx="41">
                  <c:v>0.16891891891891886</c:v>
                </c:pt>
                <c:pt idx="42">
                  <c:v>9.8901098901098994E-2</c:v>
                </c:pt>
                <c:pt idx="43">
                  <c:v>2.6824324324324325</c:v>
                </c:pt>
                <c:pt idx="44">
                  <c:v>0.76470588235294135</c:v>
                </c:pt>
                <c:pt idx="45">
                  <c:v>1.3289036544850585E-2</c:v>
                </c:pt>
                <c:pt idx="46">
                  <c:v>1.0472103004291844</c:v>
                </c:pt>
                <c:pt idx="47">
                  <c:v>0.60919540229885039</c:v>
                </c:pt>
                <c:pt idx="48">
                  <c:v>0.16363636363636358</c:v>
                </c:pt>
                <c:pt idx="49">
                  <c:v>0.70434306569343064</c:v>
                </c:pt>
                <c:pt idx="50">
                  <c:v>1.1710526315789473</c:v>
                </c:pt>
                <c:pt idx="51">
                  <c:v>2.4691358024691468E-2</c:v>
                </c:pt>
                <c:pt idx="52">
                  <c:v>8.0873786407766985</c:v>
                </c:pt>
                <c:pt idx="53">
                  <c:v>9.3301435406698774E-2</c:v>
                </c:pt>
                <c:pt idx="54">
                  <c:v>0.38797814207650272</c:v>
                </c:pt>
                <c:pt idx="55">
                  <c:v>9.0163934426229719E-2</c:v>
                </c:pt>
                <c:pt idx="56">
                  <c:v>5.2837573385518422E-2</c:v>
                </c:pt>
                <c:pt idx="57">
                  <c:v>0.2222222222222221</c:v>
                </c:pt>
                <c:pt idx="58">
                  <c:v>1.754385964912264E-2</c:v>
                </c:pt>
                <c:pt idx="59">
                  <c:v>0</c:v>
                </c:pt>
                <c:pt idx="60">
                  <c:v>6.4628099173553721E-2</c:v>
                </c:pt>
                <c:pt idx="61">
                  <c:v>0.26400000000000001</c:v>
                </c:pt>
                <c:pt idx="62">
                  <c:v>0</c:v>
                </c:pt>
                <c:pt idx="63">
                  <c:v>0</c:v>
                </c:pt>
                <c:pt idx="64">
                  <c:v>0.41032608695652173</c:v>
                </c:pt>
                <c:pt idx="65">
                  <c:v>9.8265895953757232E-2</c:v>
                </c:pt>
                <c:pt idx="66">
                  <c:v>0.24657534246575352</c:v>
                </c:pt>
                <c:pt idx="67">
                  <c:v>0.58634538152610438</c:v>
                </c:pt>
                <c:pt idx="68">
                  <c:v>0.31525423728813551</c:v>
                </c:pt>
                <c:pt idx="69">
                  <c:v>0.88461538461538458</c:v>
                </c:pt>
                <c:pt idx="70">
                  <c:v>0.51785714285714257</c:v>
                </c:pt>
                <c:pt idx="71">
                  <c:v>1.7304964539007095</c:v>
                </c:pt>
                <c:pt idx="72">
                  <c:v>0.75428571428571423</c:v>
                </c:pt>
                <c:pt idx="73">
                  <c:v>11.380191693290735</c:v>
                </c:pt>
                <c:pt idx="74">
                  <c:v>1.3763157894736842</c:v>
                </c:pt>
                <c:pt idx="75">
                  <c:v>0.34928229665071764</c:v>
                </c:pt>
                <c:pt idx="76">
                  <c:v>0.13140604467805517</c:v>
                </c:pt>
                <c:pt idx="77">
                  <c:v>5.4545454545454675E-2</c:v>
                </c:pt>
                <c:pt idx="78">
                  <c:v>0.29875518672199153</c:v>
                </c:pt>
                <c:pt idx="79">
                  <c:v>0.17753623188405809</c:v>
                </c:pt>
                <c:pt idx="80">
                  <c:v>0.33377823408624208</c:v>
                </c:pt>
                <c:pt idx="81">
                  <c:v>0.65297450424929182</c:v>
                </c:pt>
                <c:pt idx="82">
                  <c:v>0.33725490196078445</c:v>
                </c:pt>
                <c:pt idx="83">
                  <c:v>0.3348623853211008</c:v>
                </c:pt>
                <c:pt idx="84">
                  <c:v>0.5095628415300546</c:v>
                </c:pt>
                <c:pt idx="85">
                  <c:v>1.5000000000000004</c:v>
                </c:pt>
                <c:pt idx="86">
                  <c:v>0.11111111111111116</c:v>
                </c:pt>
                <c:pt idx="87">
                  <c:v>1.5</c:v>
                </c:pt>
                <c:pt idx="88">
                  <c:v>0.66666666666666674</c:v>
                </c:pt>
                <c:pt idx="89">
                  <c:v>0.35511363636363624</c:v>
                </c:pt>
                <c:pt idx="90">
                  <c:v>0.14285714285714302</c:v>
                </c:pt>
                <c:pt idx="91">
                  <c:v>0.8333333333333337</c:v>
                </c:pt>
                <c:pt idx="92">
                  <c:v>0.14285714285714302</c:v>
                </c:pt>
                <c:pt idx="93">
                  <c:v>1.25</c:v>
                </c:pt>
                <c:pt idx="94">
                  <c:v>0.60000000000000009</c:v>
                </c:pt>
                <c:pt idx="95">
                  <c:v>0.90909090909090895</c:v>
                </c:pt>
                <c:pt idx="96">
                  <c:v>3.416666666666667</c:v>
                </c:pt>
                <c:pt idx="97">
                  <c:v>0.36363636363636354</c:v>
                </c:pt>
                <c:pt idx="98">
                  <c:v>1.6521739130434785</c:v>
                </c:pt>
                <c:pt idx="99">
                  <c:v>0.47368421052631571</c:v>
                </c:pt>
                <c:pt idx="100">
                  <c:v>0.25925925925925908</c:v>
                </c:pt>
                <c:pt idx="101">
                  <c:v>4.1640340218712026</c:v>
                </c:pt>
                <c:pt idx="102">
                  <c:v>1.8888888888888888</c:v>
                </c:pt>
                <c:pt idx="103">
                  <c:v>1.6175438596491225</c:v>
                </c:pt>
                <c:pt idx="104">
                  <c:v>0.18561872909698995</c:v>
                </c:pt>
                <c:pt idx="105">
                  <c:v>0.26434782608695651</c:v>
                </c:pt>
                <c:pt idx="106">
                  <c:v>0.78571428571428603</c:v>
                </c:pt>
                <c:pt idx="107">
                  <c:v>1.6875</c:v>
                </c:pt>
                <c:pt idx="108">
                  <c:v>0.41666666666666674</c:v>
                </c:pt>
                <c:pt idx="109">
                  <c:v>1.3611111111111112</c:v>
                </c:pt>
                <c:pt idx="110">
                  <c:v>1.3834586466165413</c:v>
                </c:pt>
                <c:pt idx="111">
                  <c:v>0.34545454545454546</c:v>
                </c:pt>
                <c:pt idx="112">
                  <c:v>0.28779342723004686</c:v>
                </c:pt>
                <c:pt idx="113">
                  <c:v>0.17064516129032259</c:v>
                </c:pt>
                <c:pt idx="114">
                  <c:v>0.41564705882352948</c:v>
                </c:pt>
                <c:pt idx="115">
                  <c:v>0.35999999999999988</c:v>
                </c:pt>
                <c:pt idx="116">
                  <c:v>0.42004773269689721</c:v>
                </c:pt>
                <c:pt idx="117">
                  <c:v>0.52173913043478271</c:v>
                </c:pt>
                <c:pt idx="118">
                  <c:v>0.18518518518518512</c:v>
                </c:pt>
                <c:pt idx="119">
                  <c:v>0.12426035502958577</c:v>
                </c:pt>
                <c:pt idx="120">
                  <c:v>0.77499999999999991</c:v>
                </c:pt>
                <c:pt idx="121">
                  <c:v>0.17647058823529416</c:v>
                </c:pt>
                <c:pt idx="122">
                  <c:v>0.28571428571428559</c:v>
                </c:pt>
                <c:pt idx="123">
                  <c:v>1</c:v>
                </c:pt>
                <c:pt idx="124">
                  <c:v>1.1363636363636362</c:v>
                </c:pt>
                <c:pt idx="125">
                  <c:v>0.36956521739130421</c:v>
                </c:pt>
                <c:pt idx="126">
                  <c:v>9.0579710144927494E-2</c:v>
                </c:pt>
                <c:pt idx="127">
                  <c:v>0.32743362831858414</c:v>
                </c:pt>
                <c:pt idx="128">
                  <c:v>1.9238329238329235</c:v>
                </c:pt>
                <c:pt idx="129">
                  <c:v>0.47058823529411753</c:v>
                </c:pt>
                <c:pt idx="130">
                  <c:v>0.44444444444444442</c:v>
                </c:pt>
                <c:pt idx="131">
                  <c:v>0.25839416058394149</c:v>
                </c:pt>
                <c:pt idx="132">
                  <c:v>0.40298507462686572</c:v>
                </c:pt>
                <c:pt idx="133">
                  <c:v>0.30097087378640786</c:v>
                </c:pt>
                <c:pt idx="134">
                  <c:v>0.10596026490066213</c:v>
                </c:pt>
                <c:pt idx="135">
                  <c:v>0.10270270270270276</c:v>
                </c:pt>
                <c:pt idx="136">
                  <c:v>0.1160714285714286</c:v>
                </c:pt>
                <c:pt idx="137">
                  <c:v>0.1734693877551019</c:v>
                </c:pt>
                <c:pt idx="138">
                  <c:v>2.2857142857142856</c:v>
                </c:pt>
                <c:pt idx="139">
                  <c:v>0.12337662337662336</c:v>
                </c:pt>
                <c:pt idx="140">
                  <c:v>0.21739130434782616</c:v>
                </c:pt>
                <c:pt idx="141">
                  <c:v>0.40697674418604657</c:v>
                </c:pt>
                <c:pt idx="142">
                  <c:v>0.12250000000000005</c:v>
                </c:pt>
                <c:pt idx="143">
                  <c:v>0.15294117647058836</c:v>
                </c:pt>
                <c:pt idx="144">
                  <c:v>7.5268817204301008E-2</c:v>
                </c:pt>
                <c:pt idx="145">
                  <c:v>0.12127272727272742</c:v>
                </c:pt>
                <c:pt idx="146">
                  <c:v>0.11999999999999988</c:v>
                </c:pt>
                <c:pt idx="147">
                  <c:v>0.31275720164609044</c:v>
                </c:pt>
                <c:pt idx="148">
                  <c:v>0.18333333333333335</c:v>
                </c:pt>
                <c:pt idx="149">
                  <c:v>0.21246458923512757</c:v>
                </c:pt>
                <c:pt idx="150">
                  <c:v>0.51291512915129145</c:v>
                </c:pt>
                <c:pt idx="151">
                  <c:v>13.815217391304348</c:v>
                </c:pt>
                <c:pt idx="152">
                  <c:v>0.46370967741935476</c:v>
                </c:pt>
                <c:pt idx="153">
                  <c:v>1.9753086419753041E-2</c:v>
                </c:pt>
                <c:pt idx="154">
                  <c:v>0</c:v>
                </c:pt>
                <c:pt idx="155">
                  <c:v>5.4545454545454453E-2</c:v>
                </c:pt>
                <c:pt idx="156">
                  <c:v>0.27483443708609268</c:v>
                </c:pt>
                <c:pt idx="157">
                  <c:v>0.1150442477876108</c:v>
                </c:pt>
                <c:pt idx="158">
                  <c:v>9.3023255813953654E-2</c:v>
                </c:pt>
                <c:pt idx="159">
                  <c:v>0.34545454545454546</c:v>
                </c:pt>
                <c:pt idx="160">
                  <c:v>0.48258706467661705</c:v>
                </c:pt>
                <c:pt idx="161">
                  <c:v>1.2318840579710146</c:v>
                </c:pt>
                <c:pt idx="162">
                  <c:v>0.14572864321608026</c:v>
                </c:pt>
                <c:pt idx="163">
                  <c:v>4.8780487804878092E-3</c:v>
                </c:pt>
                <c:pt idx="164">
                  <c:v>0</c:v>
                </c:pt>
                <c:pt idx="165">
                  <c:v>0.72321428571428559</c:v>
                </c:pt>
                <c:pt idx="166">
                  <c:v>1.0869565217391353E-2</c:v>
                </c:pt>
                <c:pt idx="167">
                  <c:v>2.1582733812949728E-2</c:v>
                </c:pt>
                <c:pt idx="168">
                  <c:v>1.1249999999999982E-2</c:v>
                </c:pt>
                <c:pt idx="169">
                  <c:v>0</c:v>
                </c:pt>
                <c:pt idx="170">
                  <c:v>0.17669172932330812</c:v>
                </c:pt>
                <c:pt idx="171">
                  <c:v>2</c:v>
                </c:pt>
                <c:pt idx="172">
                  <c:v>0.21072796934865901</c:v>
                </c:pt>
                <c:pt idx="173">
                  <c:v>0.55967450271247743</c:v>
                </c:pt>
                <c:pt idx="174">
                  <c:v>0.36931216931216926</c:v>
                </c:pt>
                <c:pt idx="175">
                  <c:v>0.76026634382566582</c:v>
                </c:pt>
                <c:pt idx="176">
                  <c:v>0.67571059431524549</c:v>
                </c:pt>
                <c:pt idx="177">
                  <c:v>2.6907563025210086</c:v>
                </c:pt>
                <c:pt idx="178">
                  <c:v>9.7625329815303363E-2</c:v>
                </c:pt>
                <c:pt idx="179">
                  <c:v>0.19024390243902456</c:v>
                </c:pt>
                <c:pt idx="180">
                  <c:v>0.66137566137566162</c:v>
                </c:pt>
                <c:pt idx="181">
                  <c:v>0.81777777777777771</c:v>
                </c:pt>
                <c:pt idx="182">
                  <c:v>0</c:v>
                </c:pt>
                <c:pt idx="183">
                  <c:v>0.1408839779005524</c:v>
                </c:pt>
                <c:pt idx="184">
                  <c:v>4.9019607843137081E-3</c:v>
                </c:pt>
                <c:pt idx="185">
                  <c:v>0.46415094339622653</c:v>
                </c:pt>
                <c:pt idx="186">
                  <c:v>0.2975000000000001</c:v>
                </c:pt>
                <c:pt idx="187">
                  <c:v>0.17153284671532831</c:v>
                </c:pt>
                <c:pt idx="188">
                  <c:v>1.3783783783783785</c:v>
                </c:pt>
                <c:pt idx="189">
                  <c:v>1.3661971830985919</c:v>
                </c:pt>
                <c:pt idx="190">
                  <c:v>3.125</c:v>
                </c:pt>
                <c:pt idx="191">
                  <c:v>1.1086956521739131</c:v>
                </c:pt>
                <c:pt idx="192">
                  <c:v>0</c:v>
                </c:pt>
                <c:pt idx="193">
                  <c:v>2.2833333333333332</c:v>
                </c:pt>
                <c:pt idx="194">
                  <c:v>0.66666666666666674</c:v>
                </c:pt>
                <c:pt idx="195">
                  <c:v>4.5555555555555554</c:v>
                </c:pt>
                <c:pt idx="196">
                  <c:v>0.14999999999999991</c:v>
                </c:pt>
                <c:pt idx="197">
                  <c:v>1.5384615384615388</c:v>
                </c:pt>
                <c:pt idx="198">
                  <c:v>1.8333333333333335</c:v>
                </c:pt>
                <c:pt idx="199">
                  <c:v>1.6315789473684212</c:v>
                </c:pt>
                <c:pt idx="200">
                  <c:v>0.53125</c:v>
                </c:pt>
                <c:pt idx="201">
                  <c:v>0.26301369863013702</c:v>
                </c:pt>
                <c:pt idx="202">
                  <c:v>0.97584541062801944</c:v>
                </c:pt>
                <c:pt idx="203">
                  <c:v>0.68981481481481466</c:v>
                </c:pt>
                <c:pt idx="204">
                  <c:v>0.63934426229508223</c:v>
                </c:pt>
                <c:pt idx="205">
                  <c:v>0.4137931034482758</c:v>
                </c:pt>
                <c:pt idx="206">
                  <c:v>0.82608695652173902</c:v>
                </c:pt>
                <c:pt idx="207">
                  <c:v>0.11127819548872186</c:v>
                </c:pt>
                <c:pt idx="208">
                  <c:v>1.1510791366906479</c:v>
                </c:pt>
                <c:pt idx="209">
                  <c:v>0.18500000000000005</c:v>
                </c:pt>
                <c:pt idx="210">
                  <c:v>15.111111111111111</c:v>
                </c:pt>
                <c:pt idx="211">
                  <c:v>8.6153846153846168</c:v>
                </c:pt>
                <c:pt idx="212">
                  <c:v>3.986522911051213</c:v>
                </c:pt>
                <c:pt idx="213">
                  <c:v>0.59375</c:v>
                </c:pt>
                <c:pt idx="214">
                  <c:v>4.4629629629629628</c:v>
                </c:pt>
                <c:pt idx="215">
                  <c:v>105.25</c:v>
                </c:pt>
                <c:pt idx="216">
                  <c:v>11.546558704453439</c:v>
                </c:pt>
                <c:pt idx="217">
                  <c:v>0.23595505617977519</c:v>
                </c:pt>
                <c:pt idx="218">
                  <c:v>0.679245283018868</c:v>
                </c:pt>
                <c:pt idx="219">
                  <c:v>0.15202797202797202</c:v>
                </c:pt>
                <c:pt idx="220">
                  <c:v>0.23123123123123102</c:v>
                </c:pt>
                <c:pt idx="221">
                  <c:v>0.5</c:v>
                </c:pt>
                <c:pt idx="222">
                  <c:v>3.4158878504672892</c:v>
                </c:pt>
                <c:pt idx="223">
                  <c:v>1.1862745098039214</c:v>
                </c:pt>
                <c:pt idx="224">
                  <c:v>1.3160919540229887</c:v>
                </c:pt>
                <c:pt idx="225">
                  <c:v>0.89922480620155043</c:v>
                </c:pt>
                <c:pt idx="226">
                  <c:v>1.7631578947368425</c:v>
                </c:pt>
                <c:pt idx="227">
                  <c:v>4.7002881844380404</c:v>
                </c:pt>
                <c:pt idx="228">
                  <c:v>0.49769585253456228</c:v>
                </c:pt>
                <c:pt idx="229">
                  <c:v>0.72</c:v>
                </c:pt>
                <c:pt idx="230">
                  <c:v>0.68831168831168821</c:v>
                </c:pt>
                <c:pt idx="231">
                  <c:v>1.5978835978835981</c:v>
                </c:pt>
                <c:pt idx="232">
                  <c:v>3.7222222222222223</c:v>
                </c:pt>
                <c:pt idx="233">
                  <c:v>0.9576719576719579</c:v>
                </c:pt>
                <c:pt idx="234">
                  <c:v>0.4049586776859504</c:v>
                </c:pt>
                <c:pt idx="235">
                  <c:v>0.97169811320754684</c:v>
                </c:pt>
                <c:pt idx="236">
                  <c:v>0.91089108910891081</c:v>
                </c:pt>
                <c:pt idx="237">
                  <c:v>6.584269662921348</c:v>
                </c:pt>
                <c:pt idx="238">
                  <c:v>1.6774193548387095</c:v>
                </c:pt>
                <c:pt idx="239">
                  <c:v>1.5347222222222223</c:v>
                </c:pt>
                <c:pt idx="240">
                  <c:v>0.68217054263565879</c:v>
                </c:pt>
                <c:pt idx="241">
                  <c:v>1.0112359550561796</c:v>
                </c:pt>
                <c:pt idx="242">
                  <c:v>1.5906735751295336</c:v>
                </c:pt>
                <c:pt idx="243">
                  <c:v>7.7601078167115904</c:v>
                </c:pt>
                <c:pt idx="244">
                  <c:v>2.1962616822429903</c:v>
                </c:pt>
                <c:pt idx="245">
                  <c:v>0.77894736842105261</c:v>
                </c:pt>
                <c:pt idx="246">
                  <c:v>11.980952380952381</c:v>
                </c:pt>
                <c:pt idx="247">
                  <c:v>0.393877551020408</c:v>
                </c:pt>
                <c:pt idx="248">
                  <c:v>1.9636363636363634</c:v>
                </c:pt>
                <c:pt idx="249">
                  <c:v>1.4308943089430897</c:v>
                </c:pt>
                <c:pt idx="250">
                  <c:v>5.8775510204081636</c:v>
                </c:pt>
                <c:pt idx="251">
                  <c:v>8.3117408906882595</c:v>
                </c:pt>
                <c:pt idx="252">
                  <c:v>5.6412213740458004</c:v>
                </c:pt>
                <c:pt idx="253">
                  <c:v>4.522388059701492</c:v>
                </c:pt>
                <c:pt idx="254">
                  <c:v>3.0437158469945356</c:v>
                </c:pt>
                <c:pt idx="255">
                  <c:v>0.43611111111111112</c:v>
                </c:pt>
                <c:pt idx="256">
                  <c:v>2.2653061224489797</c:v>
                </c:pt>
                <c:pt idx="257">
                  <c:v>0.16630669546436305</c:v>
                </c:pt>
                <c:pt idx="258">
                  <c:v>1.158311345646438</c:v>
                </c:pt>
                <c:pt idx="259">
                  <c:v>3.8675373134328357</c:v>
                </c:pt>
                <c:pt idx="260">
                  <c:v>0.96722408026755824</c:v>
                </c:pt>
                <c:pt idx="261">
                  <c:v>4.8391959798994968</c:v>
                </c:pt>
                <c:pt idx="262">
                  <c:v>0.41295546558704443</c:v>
                </c:pt>
                <c:pt idx="263">
                  <c:v>1.2592592592592591</c:v>
                </c:pt>
                <c:pt idx="264">
                  <c:v>3.9610389610389607</c:v>
                </c:pt>
                <c:pt idx="265">
                  <c:v>3.179347826086957</c:v>
                </c:pt>
                <c:pt idx="266">
                  <c:v>1535.9230769230771</c:v>
                </c:pt>
                <c:pt idx="267">
                  <c:v>2.2083333333333335</c:v>
                </c:pt>
                <c:pt idx="268">
                  <c:v>4.957243816254417</c:v>
                </c:pt>
                <c:pt idx="269">
                  <c:v>1.8192771084337349</c:v>
                </c:pt>
                <c:pt idx="270">
                  <c:v>1.2967032967032965</c:v>
                </c:pt>
                <c:pt idx="271">
                  <c:v>0.5490196078431373</c:v>
                </c:pt>
                <c:pt idx="272">
                  <c:v>1.552204176334107</c:v>
                </c:pt>
                <c:pt idx="273">
                  <c:v>2.1554054054054053</c:v>
                </c:pt>
                <c:pt idx="274">
                  <c:v>0.85813953488372108</c:v>
                </c:pt>
                <c:pt idx="275">
                  <c:v>1.7540983606557377</c:v>
                </c:pt>
                <c:pt idx="276">
                  <c:v>1.2021276595744679</c:v>
                </c:pt>
                <c:pt idx="277">
                  <c:v>1.7307692307692304</c:v>
                </c:pt>
                <c:pt idx="278">
                  <c:v>1.2576112412177989</c:v>
                </c:pt>
                <c:pt idx="279">
                  <c:v>3.1847133757961785</c:v>
                </c:pt>
                <c:pt idx="280">
                  <c:v>1.9661016949152543</c:v>
                </c:pt>
                <c:pt idx="281">
                  <c:v>10.627118644067798</c:v>
                </c:pt>
                <c:pt idx="282">
                  <c:v>1.8767123287671232</c:v>
                </c:pt>
                <c:pt idx="283">
                  <c:v>1.5906735751295336</c:v>
                </c:pt>
                <c:pt idx="284">
                  <c:v>26.051724137931036</c:v>
                </c:pt>
                <c:pt idx="285">
                  <c:v>57.817460317460316</c:v>
                </c:pt>
                <c:pt idx="286">
                  <c:v>5.4189189189189184</c:v>
                </c:pt>
                <c:pt idx="287">
                  <c:v>0.94945848375451281</c:v>
                </c:pt>
                <c:pt idx="288">
                  <c:v>11.773722627737225</c:v>
                </c:pt>
                <c:pt idx="289">
                  <c:v>0.35463258785942497</c:v>
                </c:pt>
                <c:pt idx="290">
                  <c:v>2.9740740740740739</c:v>
                </c:pt>
                <c:pt idx="291">
                  <c:v>39.361990950226243</c:v>
                </c:pt>
                <c:pt idx="292">
                  <c:v>0.95945945945945943</c:v>
                </c:pt>
                <c:pt idx="293">
                  <c:v>2.0627450980392159</c:v>
                </c:pt>
                <c:pt idx="294">
                  <c:v>1.1494252873563218</c:v>
                </c:pt>
                <c:pt idx="295">
                  <c:v>2.5542168674698797</c:v>
                </c:pt>
                <c:pt idx="296">
                  <c:v>3.9459459459459465</c:v>
                </c:pt>
                <c:pt idx="297">
                  <c:v>23.363636363636363</c:v>
                </c:pt>
                <c:pt idx="298">
                  <c:v>3.7767857142857135</c:v>
                </c:pt>
                <c:pt idx="299">
                  <c:v>26.897435897435898</c:v>
                </c:pt>
                <c:pt idx="300">
                  <c:v>4.2175438596491226</c:v>
                </c:pt>
                <c:pt idx="301">
                  <c:v>3.1516245487364625</c:v>
                </c:pt>
                <c:pt idx="302">
                  <c:v>1.943548387096774</c:v>
                </c:pt>
                <c:pt idx="303">
                  <c:v>2.2531400966183579</c:v>
                </c:pt>
                <c:pt idx="304">
                  <c:v>13.798850574712645</c:v>
                </c:pt>
                <c:pt idx="305">
                  <c:v>5.7407407407407405</c:v>
                </c:pt>
                <c:pt idx="306">
                  <c:v>0.5</c:v>
                </c:pt>
                <c:pt idx="307">
                  <c:v>177.1081081081081</c:v>
                </c:pt>
                <c:pt idx="308">
                  <c:v>10.212121212121211</c:v>
                </c:pt>
                <c:pt idx="309">
                  <c:v>0.33720930232558155</c:v>
                </c:pt>
                <c:pt idx="310">
                  <c:v>3.894327030033371</c:v>
                </c:pt>
                <c:pt idx="311">
                  <c:v>0.46627565982404717</c:v>
                </c:pt>
                <c:pt idx="312">
                  <c:v>186.64705882352942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D-4058-ACB6-9A9D86E59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623999"/>
        <c:axId val="1744647295"/>
      </c:scatterChart>
      <c:valAx>
        <c:axId val="174462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Tweets 5 days before buy</a:t>
                </a:r>
              </a:p>
            </c:rich>
          </c:tx>
          <c:layout>
            <c:manualLayout>
              <c:xMode val="edge"/>
              <c:yMode val="edge"/>
              <c:x val="0.36708241480580928"/>
              <c:y val="0.920866693615522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108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47295"/>
        <c:crosses val="autoZero"/>
        <c:crossBetween val="midCat"/>
      </c:valAx>
      <c:valAx>
        <c:axId val="17446472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%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2399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324971</xdr:colOff>
      <xdr:row>0</xdr:row>
      <xdr:rowOff>257735</xdr:rowOff>
    </xdr:from>
    <xdr:to>
      <xdr:col>7</xdr:col>
      <xdr:colOff>2012575</xdr:colOff>
      <xdr:row>3</xdr:row>
      <xdr:rowOff>29709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0" y="257735"/>
          <a:ext cx="1687604" cy="601209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0</xdr:row>
      <xdr:rowOff>123825</xdr:rowOff>
    </xdr:from>
    <xdr:to>
      <xdr:col>7</xdr:col>
      <xdr:colOff>1744754</xdr:colOff>
      <xdr:row>3</xdr:row>
      <xdr:rowOff>48759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20150" y="123825"/>
          <a:ext cx="1687604" cy="601209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0</xdr:row>
      <xdr:rowOff>123825</xdr:rowOff>
    </xdr:from>
    <xdr:to>
      <xdr:col>7</xdr:col>
      <xdr:colOff>1744754</xdr:colOff>
      <xdr:row>3</xdr:row>
      <xdr:rowOff>48759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29675" y="123825"/>
          <a:ext cx="1687604" cy="601209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366712</xdr:colOff>
      <xdr:row>4</xdr:row>
      <xdr:rowOff>33337</xdr:rowOff>
    </xdr:from>
    <xdr:to>
      <xdr:col>9</xdr:col>
      <xdr:colOff>61912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579054</xdr:colOff>
      <xdr:row>4</xdr:row>
      <xdr:rowOff>46968</xdr:rowOff>
    </xdr:from>
    <xdr:to>
      <xdr:col>17</xdr:col>
      <xdr:colOff>274255</xdr:colOff>
      <xdr:row>18</xdr:row>
      <xdr:rowOff>123168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477564</xdr:colOff>
      <xdr:row>43</xdr:row>
      <xdr:rowOff>129410</xdr:rowOff>
    </xdr:from>
    <xdr:to>
      <xdr:col>25</xdr:col>
      <xdr:colOff>452804</xdr:colOff>
      <xdr:row>64</xdr:row>
      <xdr:rowOff>42496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175847</xdr:colOff>
      <xdr:row>28</xdr:row>
      <xdr:rowOff>42497</xdr:rowOff>
    </xdr:from>
    <xdr:to>
      <xdr:col>14</xdr:col>
      <xdr:colOff>490905</xdr:colOff>
      <xdr:row>42</xdr:row>
      <xdr:rowOff>118697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171450</xdr:colOff>
      <xdr:row>43</xdr:row>
      <xdr:rowOff>142875</xdr:rowOff>
    </xdr:from>
    <xdr:to>
      <xdr:col>16</xdr:col>
      <xdr:colOff>146690</xdr:colOff>
      <xdr:row>64</xdr:row>
      <xdr:rowOff>55961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409575</xdr:colOff>
      <xdr:row>1</xdr:row>
      <xdr:rowOff>152400</xdr:rowOff>
    </xdr:from>
    <xdr:to>
      <xdr:col>26</xdr:col>
      <xdr:colOff>384815</xdr:colOff>
      <xdr:row>22</xdr:row>
      <xdr:rowOff>65486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200025</xdr:colOff>
      <xdr:row>66</xdr:row>
      <xdr:rowOff>19050</xdr:rowOff>
    </xdr:from>
    <xdr:to>
      <xdr:col>16</xdr:col>
      <xdr:colOff>175265</xdr:colOff>
      <xdr:row>86</xdr:row>
      <xdr:rowOff>122636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76200</xdr:colOff>
      <xdr:row>66</xdr:row>
      <xdr:rowOff>76200</xdr:rowOff>
    </xdr:from>
    <xdr:to>
      <xdr:col>26</xdr:col>
      <xdr:colOff>51440</xdr:colOff>
      <xdr:row>86</xdr:row>
      <xdr:rowOff>179786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285750</xdr:colOff>
      <xdr:row>88</xdr:row>
      <xdr:rowOff>66675</xdr:rowOff>
    </xdr:from>
    <xdr:to>
      <xdr:col>26</xdr:col>
      <xdr:colOff>260990</xdr:colOff>
      <xdr:row>108</xdr:row>
      <xdr:rowOff>170261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257175</xdr:colOff>
      <xdr:row>88</xdr:row>
      <xdr:rowOff>9525</xdr:rowOff>
    </xdr:from>
    <xdr:to>
      <xdr:col>16</xdr:col>
      <xdr:colOff>232415</xdr:colOff>
      <xdr:row>108</xdr:row>
      <xdr:rowOff>113111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CU318" totalsRowShown="0" headerRowDxfId="296" dataDxfId="295">
  <autoFilter ref="A5:CU318" xr:uid="{00000000-0009-0000-0100-000001000000}"/>
  <sortState xmlns:xlrd2="http://schemas.microsoft.com/office/spreadsheetml/2017/richdata2" ref="A6:CU318">
    <sortCondition descending="1" ref="G5:G318"/>
  </sortState>
  <tableColumns count="99">
    <tableColumn id="1" xr3:uid="{00000000-0010-0000-0000-000001000000}" name="Description" dataDxfId="294"/>
    <tableColumn id="2" xr3:uid="{00000000-0010-0000-0000-000002000000}" name="Stock Type" dataDxfId="293"/>
    <tableColumn id="3" xr3:uid="{00000000-0010-0000-0000-000003000000}" name="Watchlist?" dataDxfId="292"/>
    <tableColumn id="4" xr3:uid="{00000000-0010-0000-0000-000004000000}" name="Symbol" dataDxfId="291"/>
    <tableColumn id="5" xr3:uid="{00000000-0010-0000-0000-000005000000}" name="Call Number (first, second, etc?)" dataDxfId="290"/>
    <tableColumn id="6" xr3:uid="{00000000-0010-0000-0000-000006000000}" name="PPS Found" dataDxfId="289"/>
    <tableColumn id="7" xr3:uid="{00000000-0010-0000-0000-000007000000}" name="Date Added" dataDxfId="288"/>
    <tableColumn id="8" xr3:uid="{00000000-0010-0000-0000-000008000000}" name="Current Quote (ONE DAY DELAYED)" dataDxfId="287"/>
    <tableColumn id="9" xr3:uid="{00000000-0010-0000-0000-000009000000}" name="Highest price Since call (ONE DAY DELAYED)" dataDxfId="286"/>
    <tableColumn id="10" xr3:uid="{00000000-0010-0000-0000-00000A000000}" name="Date of peak since call" dataDxfId="285"/>
    <tableColumn id="11" xr3:uid="{00000000-0010-0000-0000-00000B000000}" name="Gain/Loss present(%)" dataDxfId="284">
      <calculatedColumnFormula>IF(AND(F6&lt;&gt;"",H6&lt;&gt;""), (H6/F6)-100%, "")</calculatedColumnFormula>
    </tableColumn>
    <tableColumn id="12" xr3:uid="{00000000-0010-0000-0000-00000C000000}" name="Gain/Loss if sold at top since call(%)" dataDxfId="283">
      <calculatedColumnFormula>IF(AND(F6&lt;&gt;"",I6&lt;&gt;""), (I6/F6)-100%, "")</calculatedColumnFormula>
    </tableColumn>
    <tableColumn id="13" xr3:uid="{00000000-0010-0000-0000-00000D000000}" name="Last High Compute Date" dataDxfId="282"/>
    <tableColumn id="14" xr3:uid="{00000000-0010-0000-0000-00000E000000}" name="Manual Override" dataDxfId="281"/>
    <tableColumn id="15" xr3:uid="{00000000-0010-0000-0000-00000F000000}" name="Shares OS" dataDxfId="280"/>
    <tableColumn id="64" xr3:uid="{00000000-0010-0000-0000-000040000000}" name="Float" dataDxfId="279"/>
    <tableColumn id="16" xr3:uid="{00000000-0010-0000-0000-000010000000}" name="Days Elapsed to High" dataDxfId="278"/>
    <tableColumn id="17" xr3:uid="{00000000-0010-0000-0000-000011000000}" name="Country" dataDxfId="277"/>
    <tableColumn id="18" xr3:uid="{00000000-0010-0000-0000-000012000000}" name="Sector" dataDxfId="276"/>
    <tableColumn id="19" xr3:uid="{00000000-0010-0000-0000-000013000000}" name="Industry" dataDxfId="275"/>
    <tableColumn id="20" xr3:uid="{00000000-0010-0000-0000-000014000000}" name="Social Sentiment (5 Days)" dataDxfId="274"/>
    <tableColumn id="21" xr3:uid="{00000000-0010-0000-0000-000015000000}" name="Vol at Close" dataDxfId="273"/>
    <tableColumn id="22" xr3:uid="{00000000-0010-0000-0000-000016000000}" name="Rating" dataDxfId="272"/>
    <tableColumn id="24" xr3:uid="{00000000-0010-0000-0000-000018000000}" name="fClose" dataDxfId="271"/>
    <tableColumn id="25" xr3:uid="{00000000-0010-0000-0000-000019000000}" name="200ma" dataDxfId="270"/>
    <tableColumn id="26" xr3:uid="{00000000-0010-0000-0000-00001A000000}" name="100ma" dataDxfId="269"/>
    <tableColumn id="27" xr3:uid="{00000000-0010-0000-0000-00001B000000}" name="50ma" dataDxfId="268"/>
    <tableColumn id="28" xr3:uid="{00000000-0010-0000-0000-00001C000000}" name="50dma" dataDxfId="267"/>
    <tableColumn id="29" xr3:uid="{00000000-0010-0000-0000-00001D000000}" name="20ma" dataDxfId="266"/>
    <tableColumn id="30" xr3:uid="{00000000-0010-0000-0000-00001E000000}" name="14ma" dataDxfId="265"/>
    <tableColumn id="31" xr3:uid="{00000000-0010-0000-0000-00001F000000}" name="8ma" dataDxfId="264"/>
    <tableColumn id="32" xr3:uid="{00000000-0010-0000-0000-000020000000}" name="Slope 200ma" dataDxfId="263"/>
    <tableColumn id="33" xr3:uid="{00000000-0010-0000-0000-000021000000}" name="Slope 100ma" dataDxfId="262"/>
    <tableColumn id="34" xr3:uid="{00000000-0010-0000-0000-000022000000}" name="Slope 50ma" dataDxfId="261"/>
    <tableColumn id="35" xr3:uid="{00000000-0010-0000-0000-000023000000}" name="Slope 50dma" dataDxfId="260"/>
    <tableColumn id="36" xr3:uid="{00000000-0010-0000-0000-000024000000}" name="Slope 20ma" dataDxfId="259"/>
    <tableColumn id="37" xr3:uid="{00000000-0010-0000-0000-000025000000}" name="Slope 14ma" dataDxfId="258"/>
    <tableColumn id="38" xr3:uid="{00000000-0010-0000-0000-000026000000}" name="Slope 8ma" dataDxfId="257"/>
    <tableColumn id="39" xr3:uid="{00000000-0010-0000-0000-000027000000}" name="Diff 200ma - 100ma" dataDxfId="256"/>
    <tableColumn id="40" xr3:uid="{00000000-0010-0000-0000-000028000000}" name="Diff 200ma - 50ma" dataDxfId="255"/>
    <tableColumn id="41" xr3:uid="{00000000-0010-0000-0000-000029000000}" name="Diff 200ma - 50dma" dataDxfId="254"/>
    <tableColumn id="42" xr3:uid="{00000000-0010-0000-0000-00002A000000}" name="Diff 200ma - 20ma" dataDxfId="253"/>
    <tableColumn id="43" xr3:uid="{00000000-0010-0000-0000-00002B000000}" name="Diff 200ma - 14ma" dataDxfId="252"/>
    <tableColumn id="44" xr3:uid="{00000000-0010-0000-0000-00002C000000}" name="Diff 200ma - 8ma" dataDxfId="251"/>
    <tableColumn id="45" xr3:uid="{00000000-0010-0000-0000-00002D000000}" name="Diff 100ma - 50ma" dataDxfId="250"/>
    <tableColumn id="46" xr3:uid="{00000000-0010-0000-0000-00002E000000}" name="Diff 100ma - 50dma" dataDxfId="249"/>
    <tableColumn id="47" xr3:uid="{00000000-0010-0000-0000-00002F000000}" name="Diff 100ma - 20ma" dataDxfId="248"/>
    <tableColumn id="48" xr3:uid="{00000000-0010-0000-0000-000030000000}" name="Diff 100ma - 14ma" dataDxfId="247"/>
    <tableColumn id="49" xr3:uid="{00000000-0010-0000-0000-000031000000}" name="Diff 100ma - 8ma" dataDxfId="246"/>
    <tableColumn id="50" xr3:uid="{00000000-0010-0000-0000-000032000000}" name="Diff 50dma - 50ma" dataDxfId="245"/>
    <tableColumn id="51" xr3:uid="{00000000-0010-0000-0000-000033000000}" name="Diff 50dma - 20ma" dataDxfId="244"/>
    <tableColumn id="52" xr3:uid="{00000000-0010-0000-0000-000034000000}" name="Diff 50dma - 14ma" dataDxfId="243"/>
    <tableColumn id="53" xr3:uid="{00000000-0010-0000-0000-000035000000}" name="Diff 50dma - 8ma" dataDxfId="242"/>
    <tableColumn id="54" xr3:uid="{00000000-0010-0000-0000-000036000000}" name="Diff 50ma - 20ma" dataDxfId="241"/>
    <tableColumn id="55" xr3:uid="{00000000-0010-0000-0000-000037000000}" name="Diff 50ma - 14ma" dataDxfId="240"/>
    <tableColumn id="56" xr3:uid="{00000000-0010-0000-0000-000038000000}" name="Diff 50ma - 8ma" dataDxfId="239"/>
    <tableColumn id="57" xr3:uid="{00000000-0010-0000-0000-000039000000}" name="Diff 20ma - 14ma" dataDxfId="238"/>
    <tableColumn id="58" xr3:uid="{00000000-0010-0000-0000-00003A000000}" name="Diff 20ma - 8ma" dataDxfId="237"/>
    <tableColumn id="59" xr3:uid="{00000000-0010-0000-0000-00003B000000}" name="Diff 14ma - 8ma" dataDxfId="236"/>
    <tableColumn id="60" xr3:uid="{00000000-0010-0000-0000-00003C000000}" name="Diff ALL" dataDxfId="235"/>
    <tableColumn id="61" xr3:uid="{00000000-0010-0000-0000-00003D000000}" name="Diff ALL 100ma" dataDxfId="234"/>
    <tableColumn id="62" xr3:uid="{00000000-0010-0000-0000-00003E000000}" name="Diff ALL 20ma" dataDxfId="233"/>
    <tableColumn id="90" xr3:uid="{00000000-0010-0000-0000-00005A000000}" name="VolumeAvg(5)" dataDxfId="232"/>
    <tableColumn id="91" xr3:uid="{00000000-0010-0000-0000-00005B000000}" name="VolumeAvg(10)" dataDxfId="231"/>
    <tableColumn id="92" xr3:uid="{00000000-0010-0000-0000-00005C000000}" name="VolumeAvg(20)" dataDxfId="230"/>
    <tableColumn id="93" xr3:uid="{00000000-0010-0000-0000-00005D000000}" name="VolumeAvg(50)" dataDxfId="229"/>
    <tableColumn id="94" xr3:uid="{00000000-0010-0000-0000-00005E000000}" name="VolumeAvg(100)" dataDxfId="228"/>
    <tableColumn id="95" xr3:uid="{00000000-0010-0000-0000-00005F000000}" name="VolumeAvg(200)" dataDxfId="227"/>
    <tableColumn id="63" xr3:uid="{00000000-0010-0000-0000-00003F000000}" name="RSI (14)" dataDxfId="226"/>
    <tableColumn id="85" xr3:uid="{00000000-0010-0000-0000-000055000000}" name="UnfilledGapAbove(&gt;5%)" dataDxfId="225"/>
    <tableColumn id="86" xr3:uid="{00000000-0010-0000-0000-000056000000}" name="UnfilledGapBelow(&gt;5%)" dataDxfId="224"/>
    <tableColumn id="83" xr3:uid="{00000000-0010-0000-0000-000053000000}" name="Accu/Dist Line" dataDxfId="223"/>
    <tableColumn id="82" xr3:uid="{00000000-0010-0000-0000-000052000000}" name="Accu/Dist Osc(2,5)" dataDxfId="222"/>
    <tableColumn id="23" xr3:uid="{00000000-0010-0000-0000-000017000000}" name="ATR(14)" dataDxfId="221"/>
    <tableColumn id="79" xr3:uid="{00000000-0010-0000-0000-00004F000000}" name="SMA(ATR(14), 50)" dataDxfId="220"/>
    <tableColumn id="84" xr3:uid="{00000000-0010-0000-0000-000054000000}" name="Delta (SMA(ATR(14,50)), ATR(14))" dataDxfId="219"/>
    <tableColumn id="65" xr3:uid="{00000000-0010-0000-0000-000041000000}" name="Chaikin Vol(10)" dataDxfId="218"/>
    <tableColumn id="66" xr3:uid="{00000000-0010-0000-0000-000042000000}" name="Chaikin Vol(50)" dataDxfId="217"/>
    <tableColumn id="67" xr3:uid="{00000000-0010-0000-0000-000043000000}" name="Bbands(20,2) Upper" dataDxfId="216"/>
    <tableColumn id="68" xr3:uid="{00000000-0010-0000-0000-000044000000}" name="Bbands(20,2) Lower" dataDxfId="215"/>
    <tableColumn id="69" xr3:uid="{00000000-0010-0000-0000-000045000000}" name="Bbands(20,2) Middle" dataDxfId="214"/>
    <tableColumn id="70" xr3:uid="{00000000-0010-0000-0000-000046000000}" name="Bbands(20,2) ULDelta" dataDxfId="213"/>
    <tableColumn id="71" xr3:uid="{00000000-0010-0000-0000-000047000000}" name="MACD(12,26,9) Value" dataDxfId="212"/>
    <tableColumn id="72" xr3:uid="{00000000-0010-0000-0000-000048000000}" name="MACD(12,26,9) Signal" dataDxfId="211"/>
    <tableColumn id="73" xr3:uid="{00000000-0010-0000-0000-000049000000}" name="MACD(12,26,9) Histo" dataDxfId="210"/>
    <tableColumn id="87" xr3:uid="{00000000-0010-0000-0000-000057000000}" name="MACD Value Slope" dataDxfId="209"/>
    <tableColumn id="74" xr3:uid="{00000000-0010-0000-0000-00004A000000}" name="High 253 Day" dataDxfId="208"/>
    <tableColumn id="88" xr3:uid="{00000000-0010-0000-0000-000058000000}" name="% to High52" dataDxfId="207"/>
    <tableColumn id="75" xr3:uid="{00000000-0010-0000-0000-00004B000000}" name="Low 253 Day" dataDxfId="206"/>
    <tableColumn id="89" xr3:uid="{00000000-0010-0000-0000-000059000000}" name="% To Low 52" dataDxfId="205"/>
    <tableColumn id="76" xr3:uid="{00000000-0010-0000-0000-00004C000000}" name="On Balance Vol" dataDxfId="204"/>
    <tableColumn id="77" xr3:uid="{00000000-0010-0000-0000-00004D000000}" name="Variance(10)" dataDxfId="203"/>
    <tableColumn id="80" xr3:uid="{00000000-0010-0000-0000-000050000000}" name="Variance(20)" dataDxfId="202"/>
    <tableColumn id="81" xr3:uid="{00000000-0010-0000-0000-000051000000}" name="Variance(50)" dataDxfId="201"/>
    <tableColumn id="78" xr3:uid="{00000000-0010-0000-0000-00004E000000}" name="WilliamsAD" dataDxfId="200"/>
    <tableColumn id="99" xr3:uid="{00000000-0010-0000-0000-000063000000}" name="Above50ma" dataDxfId="199"/>
    <tableColumn id="96" xr3:uid="{00000000-0010-0000-0000-000060000000}" name="Above50dma" dataDxfId="198"/>
    <tableColumn id="97" xr3:uid="{00000000-0010-0000-0000-000061000000}" name="Above100ma" dataDxfId="197"/>
    <tableColumn id="98" xr3:uid="{00000000-0010-0000-0000-000062000000}" name="Above200ma" dataDxfId="19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5:CQ196" totalsRowShown="0" headerRowDxfId="195" dataDxfId="194" tableBorderDxfId="193">
  <autoFilter ref="A5:CQ196" xr:uid="{00000000-0009-0000-0100-000002000000}"/>
  <sortState xmlns:xlrd2="http://schemas.microsoft.com/office/spreadsheetml/2017/richdata2" ref="A6:CQ196">
    <sortCondition descending="1" ref="G5:G196"/>
  </sortState>
  <tableColumns count="95">
    <tableColumn id="1" xr3:uid="{00000000-0010-0000-0100-000001000000}" name="Scan" dataDxfId="192" dataCellStyle="Hyperlink"/>
    <tableColumn id="2" xr3:uid="{00000000-0010-0000-0100-000002000000}" name="Stock Type" dataDxfId="191"/>
    <tableColumn id="3" xr3:uid="{00000000-0010-0000-0100-000003000000}" name="Frontload Count" dataDxfId="190" dataCellStyle="Hyperlink"/>
    <tableColumn id="4" xr3:uid="{00000000-0010-0000-0100-000004000000}" name="Symbol" dataDxfId="189"/>
    <tableColumn id="5" xr3:uid="{00000000-0010-0000-0100-000005000000}" name="Twitter Link" dataDxfId="188"/>
    <tableColumn id="6" xr3:uid="{00000000-0010-0000-0100-000006000000}" name="PPS Found" dataDxfId="187"/>
    <tableColumn id="7" xr3:uid="{00000000-0010-0000-0100-000007000000}" name="Date Found" dataDxfId="186"/>
    <tableColumn id="8" xr3:uid="{00000000-0010-0000-0100-000008000000}" name="Current Quote (ONE DAY DELAYED)" dataDxfId="185"/>
    <tableColumn id="9" xr3:uid="{00000000-0010-0000-0100-000009000000}" name="Highest price Since call (ONE DAY DELAYED)" dataDxfId="184"/>
    <tableColumn id="10" xr3:uid="{00000000-0010-0000-0100-00000A000000}" name="Date of peak since call" dataDxfId="183"/>
    <tableColumn id="11" xr3:uid="{00000000-0010-0000-0100-00000B000000}" name="Gain/Loss present(%)" dataDxfId="182">
      <calculatedColumnFormula>IF(F6&lt;&gt;"", (H6/F6)-100%, "")</calculatedColumnFormula>
    </tableColumn>
    <tableColumn id="12" xr3:uid="{00000000-0010-0000-0100-00000C000000}" name="Gain/Loss if sold at top since call(%)" dataDxfId="181">
      <calculatedColumnFormula>IF(F6&lt;&gt;"", (I6/F6)-100%, "")</calculatedColumnFormula>
    </tableColumn>
    <tableColumn id="13" xr3:uid="{00000000-0010-0000-0100-00000D000000}" name="Last High Compute Date" dataDxfId="180"/>
    <tableColumn id="14" xr3:uid="{00000000-0010-0000-0100-00000E000000}" name="Manual Override" dataDxfId="179"/>
    <tableColumn id="15" xr3:uid="{00000000-0010-0000-0100-00000F000000}" name="Shares OS" dataDxfId="178"/>
    <tableColumn id="16" xr3:uid="{00000000-0010-0000-0100-000010000000}" name="Float" dataDxfId="177"/>
    <tableColumn id="17" xr3:uid="{00000000-0010-0000-0100-000011000000}" name="Days Elapsed to High" dataDxfId="176"/>
    <tableColumn id="18" xr3:uid="{00000000-0010-0000-0100-000012000000}" name="Country" dataDxfId="175"/>
    <tableColumn id="19" xr3:uid="{00000000-0010-0000-0100-000013000000}" name="Sector" dataDxfId="174"/>
    <tableColumn id="20" xr3:uid="{00000000-0010-0000-0100-000014000000}" name="Industry" dataDxfId="173"/>
    <tableColumn id="21" xr3:uid="{00000000-0010-0000-0100-000015000000}" name="Social Sentiment" dataDxfId="172"/>
    <tableColumn id="22" xr3:uid="{00000000-0010-0000-0100-000016000000}" name="Vol at Close" dataDxfId="171"/>
    <tableColumn id="23" xr3:uid="{00000000-0010-0000-0100-000017000000}" name="Rating" dataDxfId="170"/>
    <tableColumn id="24" xr3:uid="{00000000-0010-0000-0100-000018000000}" name="fClose" dataDxfId="169"/>
    <tableColumn id="25" xr3:uid="{00000000-0010-0000-0100-000019000000}" name="200ma" dataDxfId="168"/>
    <tableColumn id="26" xr3:uid="{00000000-0010-0000-0100-00001A000000}" name="100ma" dataDxfId="167"/>
    <tableColumn id="27" xr3:uid="{00000000-0010-0000-0100-00001B000000}" name="50ma" dataDxfId="166"/>
    <tableColumn id="28" xr3:uid="{00000000-0010-0000-0100-00001C000000}" name="50dma" dataDxfId="165"/>
    <tableColumn id="29" xr3:uid="{00000000-0010-0000-0100-00001D000000}" name="20ma" dataDxfId="164"/>
    <tableColumn id="30" xr3:uid="{00000000-0010-0000-0100-00001E000000}" name="14ma" dataDxfId="163"/>
    <tableColumn id="31" xr3:uid="{00000000-0010-0000-0100-00001F000000}" name="8ma" dataDxfId="162"/>
    <tableColumn id="32" xr3:uid="{00000000-0010-0000-0100-000020000000}" name="Slope 200ma" dataDxfId="161"/>
    <tableColumn id="33" xr3:uid="{00000000-0010-0000-0100-000021000000}" name="Slope 100ma" dataDxfId="160"/>
    <tableColumn id="34" xr3:uid="{00000000-0010-0000-0100-000022000000}" name="Slope 50ma" dataDxfId="159"/>
    <tableColumn id="35" xr3:uid="{00000000-0010-0000-0100-000023000000}" name="Slope 50dma" dataDxfId="158"/>
    <tableColumn id="36" xr3:uid="{00000000-0010-0000-0100-000024000000}" name="Slope 20ma" dataDxfId="157"/>
    <tableColumn id="37" xr3:uid="{00000000-0010-0000-0100-000025000000}" name="Slope 14ma" dataDxfId="156"/>
    <tableColumn id="38" xr3:uid="{00000000-0010-0000-0100-000026000000}" name="Slope 8ma" dataDxfId="155"/>
    <tableColumn id="39" xr3:uid="{00000000-0010-0000-0100-000027000000}" name="Diff 200ma - 100ma" dataDxfId="154"/>
    <tableColumn id="40" xr3:uid="{00000000-0010-0000-0100-000028000000}" name="Diff 200ma - 50ma" dataDxfId="153"/>
    <tableColumn id="41" xr3:uid="{00000000-0010-0000-0100-000029000000}" name="Diff 200ma - 50dma" dataDxfId="152"/>
    <tableColumn id="42" xr3:uid="{00000000-0010-0000-0100-00002A000000}" name="Diff 200ma - 20ma" dataDxfId="151"/>
    <tableColumn id="43" xr3:uid="{00000000-0010-0000-0100-00002B000000}" name="Diff 200ma - 14ma" dataDxfId="150"/>
    <tableColumn id="44" xr3:uid="{00000000-0010-0000-0100-00002C000000}" name="Diff 200ma - 8ma" dataDxfId="149"/>
    <tableColumn id="45" xr3:uid="{00000000-0010-0000-0100-00002D000000}" name="Diff 100ma - 50ma" dataDxfId="148"/>
    <tableColumn id="46" xr3:uid="{00000000-0010-0000-0100-00002E000000}" name="Diff 100ma - 50dma" dataDxfId="147"/>
    <tableColumn id="47" xr3:uid="{00000000-0010-0000-0100-00002F000000}" name="Diff 100ma - 20ma" dataDxfId="146"/>
    <tableColumn id="48" xr3:uid="{00000000-0010-0000-0100-000030000000}" name="Diff 100ma - 14ma" dataDxfId="145"/>
    <tableColumn id="49" xr3:uid="{00000000-0010-0000-0100-000031000000}" name="Diff 100ma - 8ma" dataDxfId="144"/>
    <tableColumn id="50" xr3:uid="{00000000-0010-0000-0100-000032000000}" name="Diff 50dma - 50ma" dataDxfId="143"/>
    <tableColumn id="51" xr3:uid="{00000000-0010-0000-0100-000033000000}" name="Diff 50dma - 20ma" dataDxfId="142"/>
    <tableColumn id="52" xr3:uid="{00000000-0010-0000-0100-000034000000}" name="Diff 50dma - 14ma" dataDxfId="141"/>
    <tableColumn id="53" xr3:uid="{00000000-0010-0000-0100-000035000000}" name="Diff 50dma - 8ma" dataDxfId="140"/>
    <tableColumn id="54" xr3:uid="{00000000-0010-0000-0100-000036000000}" name="Diff 50ma - 20ma" dataDxfId="139"/>
    <tableColumn id="55" xr3:uid="{00000000-0010-0000-0100-000037000000}" name="Diff 50ma - 14ma" dataDxfId="138"/>
    <tableColumn id="56" xr3:uid="{00000000-0010-0000-0100-000038000000}" name="Diff 50ma - 8ma" dataDxfId="137"/>
    <tableColumn id="57" xr3:uid="{00000000-0010-0000-0100-000039000000}" name="Diff 20ma - 14ma" dataDxfId="136"/>
    <tableColumn id="58" xr3:uid="{00000000-0010-0000-0100-00003A000000}" name="Diff 20ma - 8ma" dataDxfId="135"/>
    <tableColumn id="59" xr3:uid="{00000000-0010-0000-0100-00003B000000}" name="Diff 14ma - 8ma" dataDxfId="134"/>
    <tableColumn id="60" xr3:uid="{00000000-0010-0000-0100-00003C000000}" name="Diff ALL" dataDxfId="133"/>
    <tableColumn id="61" xr3:uid="{00000000-0010-0000-0100-00003D000000}" name="Diff ALL 100ma" dataDxfId="132"/>
    <tableColumn id="62" xr3:uid="{00000000-0010-0000-0100-00003E000000}" name="Diff ALL 20ma" dataDxfId="131"/>
    <tableColumn id="63" xr3:uid="{00000000-0010-0000-0100-00003F000000}" name="VolumeAvg(5)" dataDxfId="130"/>
    <tableColumn id="64" xr3:uid="{00000000-0010-0000-0100-000040000000}" name="VolumeAvg(10)" dataDxfId="129"/>
    <tableColumn id="65" xr3:uid="{00000000-0010-0000-0100-000041000000}" name="VolumeAvg(20)" dataDxfId="128"/>
    <tableColumn id="66" xr3:uid="{00000000-0010-0000-0100-000042000000}" name="VolumeAvg(50)" dataDxfId="127"/>
    <tableColumn id="67" xr3:uid="{00000000-0010-0000-0100-000043000000}" name="VolumeAvg(100)" dataDxfId="126"/>
    <tableColumn id="68" xr3:uid="{00000000-0010-0000-0100-000044000000}" name="VolumeAvg(200)" dataDxfId="125"/>
    <tableColumn id="69" xr3:uid="{00000000-0010-0000-0100-000045000000}" name="RSI (14)" dataDxfId="124"/>
    <tableColumn id="70" xr3:uid="{00000000-0010-0000-0100-000046000000}" name="UnfilledGapAbove" dataDxfId="123"/>
    <tableColumn id="71" xr3:uid="{00000000-0010-0000-0100-000047000000}" name="UnfilledGapBelow" dataDxfId="122"/>
    <tableColumn id="72" xr3:uid="{00000000-0010-0000-0100-000048000000}" name="Accu/Dist Line" dataDxfId="121"/>
    <tableColumn id="73" xr3:uid="{00000000-0010-0000-0100-000049000000}" name="Accu/Dist Osc(2,5)" dataDxfId="120"/>
    <tableColumn id="74" xr3:uid="{00000000-0010-0000-0100-00004A000000}" name="ATR(14)" dataDxfId="119"/>
    <tableColumn id="75" xr3:uid="{00000000-0010-0000-0100-00004B000000}" name="SMA(ATR(14), 50)" dataDxfId="118"/>
    <tableColumn id="76" xr3:uid="{00000000-0010-0000-0100-00004C000000}" name="Delta (SMA(ATR(14,50)), ATR(14))" dataDxfId="117"/>
    <tableColumn id="77" xr3:uid="{00000000-0010-0000-0100-00004D000000}" name="Chaikin Vol(10)" dataDxfId="116"/>
    <tableColumn id="78" xr3:uid="{00000000-0010-0000-0100-00004E000000}" name="Chaikin Vol(50)" dataDxfId="115"/>
    <tableColumn id="79" xr3:uid="{00000000-0010-0000-0100-00004F000000}" name="Bbands(20,2) Upper" dataDxfId="114"/>
    <tableColumn id="80" xr3:uid="{00000000-0010-0000-0100-000050000000}" name="Bbands(20,2) Lower" dataDxfId="113"/>
    <tableColumn id="81" xr3:uid="{00000000-0010-0000-0100-000051000000}" name="Bbands(20,2) Middle" dataDxfId="112"/>
    <tableColumn id="82" xr3:uid="{00000000-0010-0000-0100-000052000000}" name="Bbands(20,2) ULDelta" dataDxfId="111"/>
    <tableColumn id="83" xr3:uid="{00000000-0010-0000-0100-000053000000}" name="MACD(12,26,9) Value" dataDxfId="110"/>
    <tableColumn id="84" xr3:uid="{00000000-0010-0000-0100-000054000000}" name="MACD(12,26,9) Signal" dataDxfId="109"/>
    <tableColumn id="85" xr3:uid="{00000000-0010-0000-0100-000055000000}" name="MACD(12,26,9) Histo" dataDxfId="108"/>
    <tableColumn id="86" xr3:uid="{00000000-0010-0000-0100-000056000000}" name="MACD Value Slope" dataDxfId="107"/>
    <tableColumn id="87" xr3:uid="{00000000-0010-0000-0100-000057000000}" name="High 253 Day" dataDxfId="106"/>
    <tableColumn id="88" xr3:uid="{00000000-0010-0000-0100-000058000000}" name="% to High52" dataDxfId="105"/>
    <tableColumn id="89" xr3:uid="{00000000-0010-0000-0100-000059000000}" name="Low 253 Day" dataDxfId="104"/>
    <tableColumn id="90" xr3:uid="{00000000-0010-0000-0100-00005A000000}" name="% To Low 52" dataDxfId="103"/>
    <tableColumn id="91" xr3:uid="{00000000-0010-0000-0100-00005B000000}" name="On Balance Vol" dataDxfId="102"/>
    <tableColumn id="92" xr3:uid="{00000000-0010-0000-0100-00005C000000}" name="Variance(10)" dataDxfId="101"/>
    <tableColumn id="93" xr3:uid="{00000000-0010-0000-0100-00005D000000}" name="Variance(20)" dataDxfId="100"/>
    <tableColumn id="94" xr3:uid="{00000000-0010-0000-0100-00005E000000}" name="Variance(50)" dataDxfId="99"/>
    <tableColumn id="95" xr3:uid="{00000000-0010-0000-0100-00005F000000}" name="WilliamsAD" dataDxfId="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4" displayName="Table34" ref="A5:CQ8" totalsRowShown="0" headerRowDxfId="97" dataDxfId="96" tableBorderDxfId="95">
  <autoFilter ref="A5:CQ8" xr:uid="{00000000-0009-0000-0100-000003000000}"/>
  <sortState xmlns:xlrd2="http://schemas.microsoft.com/office/spreadsheetml/2017/richdata2" ref="A6:CQ8">
    <sortCondition descending="1" ref="G5:G8"/>
  </sortState>
  <tableColumns count="95">
    <tableColumn id="1" xr3:uid="{00000000-0010-0000-0200-000001000000}" name="Reason?" dataDxfId="94" dataCellStyle="Hyperlink"/>
    <tableColumn id="2" xr3:uid="{00000000-0010-0000-0200-000002000000}" name="Stock Type" dataDxfId="93"/>
    <tableColumn id="3" xr3:uid="{00000000-0010-0000-0200-000003000000}" name="Timeframe" dataDxfId="92" dataCellStyle="Hyperlink"/>
    <tableColumn id="4" xr3:uid="{00000000-0010-0000-0200-000004000000}" name="Symbol" dataDxfId="91"/>
    <tableColumn id="5" xr3:uid="{00000000-0010-0000-0200-000005000000}" name="Twitter Link" dataDxfId="90"/>
    <tableColumn id="6" xr3:uid="{00000000-0010-0000-0200-000006000000}" name="PPS Found" dataDxfId="89"/>
    <tableColumn id="7" xr3:uid="{00000000-0010-0000-0200-000007000000}" name="Date Found" dataDxfId="88"/>
    <tableColumn id="8" xr3:uid="{00000000-0010-0000-0200-000008000000}" name="Current Quote (ONE DAY DELAYED)" dataDxfId="87"/>
    <tableColumn id="9" xr3:uid="{00000000-0010-0000-0200-000009000000}" name="Peak After call" dataDxfId="86"/>
    <tableColumn id="10" xr3:uid="{00000000-0010-0000-0200-00000A000000}" name="Peak Time" dataDxfId="85"/>
    <tableColumn id="11" xr3:uid="{00000000-0010-0000-0200-00000B000000}" name="Gain/Loss present(%)" dataDxfId="84">
      <calculatedColumnFormula>IF(F6&lt;&gt;"", (H6/F6)-100%, "")</calculatedColumnFormula>
    </tableColumn>
    <tableColumn id="12" xr3:uid="{00000000-0010-0000-0200-00000C000000}" name="Gain/Loss if sold at top since call(%)" dataDxfId="83">
      <calculatedColumnFormula>IF(F6&lt;&gt;"", (I6/F6)-100%, "")</calculatedColumnFormula>
    </tableColumn>
    <tableColumn id="13" xr3:uid="{00000000-0010-0000-0200-00000D000000}" name="Last High Compute Date" dataDxfId="82"/>
    <tableColumn id="14" xr3:uid="{00000000-0010-0000-0200-00000E000000}" name="Manual Override" dataDxfId="81"/>
    <tableColumn id="15" xr3:uid="{00000000-0010-0000-0200-00000F000000}" name="Shares OS" dataDxfId="80"/>
    <tableColumn id="16" xr3:uid="{00000000-0010-0000-0200-000010000000}" name="Float" dataDxfId="79"/>
    <tableColumn id="17" xr3:uid="{00000000-0010-0000-0200-000011000000}" name="Days Elapsed to High" dataDxfId="78"/>
    <tableColumn id="18" xr3:uid="{00000000-0010-0000-0200-000012000000}" name="Country" dataDxfId="77"/>
    <tableColumn id="19" xr3:uid="{00000000-0010-0000-0200-000013000000}" name="Sector" dataDxfId="76"/>
    <tableColumn id="20" xr3:uid="{00000000-0010-0000-0200-000014000000}" name="Industry" dataDxfId="75"/>
    <tableColumn id="21" xr3:uid="{00000000-0010-0000-0200-000015000000}" name="Social Sentiment" dataDxfId="74"/>
    <tableColumn id="22" xr3:uid="{00000000-0010-0000-0200-000016000000}" name="Vol at Close" dataDxfId="73"/>
    <tableColumn id="23" xr3:uid="{00000000-0010-0000-0200-000017000000}" name="Rating" dataDxfId="72"/>
    <tableColumn id="24" xr3:uid="{00000000-0010-0000-0200-000018000000}" name="fClose" dataDxfId="71"/>
    <tableColumn id="25" xr3:uid="{00000000-0010-0000-0200-000019000000}" name="200ma" dataDxfId="70"/>
    <tableColumn id="26" xr3:uid="{00000000-0010-0000-0200-00001A000000}" name="100ma" dataDxfId="69"/>
    <tableColumn id="27" xr3:uid="{00000000-0010-0000-0200-00001B000000}" name="50ma" dataDxfId="68"/>
    <tableColumn id="28" xr3:uid="{00000000-0010-0000-0200-00001C000000}" name="50dma" dataDxfId="67"/>
    <tableColumn id="29" xr3:uid="{00000000-0010-0000-0200-00001D000000}" name="20ma" dataDxfId="66"/>
    <tableColumn id="30" xr3:uid="{00000000-0010-0000-0200-00001E000000}" name="14ma" dataDxfId="65"/>
    <tableColumn id="31" xr3:uid="{00000000-0010-0000-0200-00001F000000}" name="8ma" dataDxfId="64"/>
    <tableColumn id="32" xr3:uid="{00000000-0010-0000-0200-000020000000}" name="Slope 200ma" dataDxfId="63"/>
    <tableColumn id="33" xr3:uid="{00000000-0010-0000-0200-000021000000}" name="Slope 100ma" dataDxfId="62"/>
    <tableColumn id="34" xr3:uid="{00000000-0010-0000-0200-000022000000}" name="Slope 50ma" dataDxfId="61"/>
    <tableColumn id="35" xr3:uid="{00000000-0010-0000-0200-000023000000}" name="Slope 50dma" dataDxfId="60"/>
    <tableColumn id="36" xr3:uid="{00000000-0010-0000-0200-000024000000}" name="Slope 20ma" dataDxfId="59"/>
    <tableColumn id="37" xr3:uid="{00000000-0010-0000-0200-000025000000}" name="Slope 14ma" dataDxfId="58"/>
    <tableColumn id="38" xr3:uid="{00000000-0010-0000-0200-000026000000}" name="Slope 8ma" dataDxfId="57"/>
    <tableColumn id="39" xr3:uid="{00000000-0010-0000-0200-000027000000}" name="Diff 200ma - 100ma" dataDxfId="56"/>
    <tableColumn id="40" xr3:uid="{00000000-0010-0000-0200-000028000000}" name="Diff 200ma - 50ma" dataDxfId="55"/>
    <tableColumn id="41" xr3:uid="{00000000-0010-0000-0200-000029000000}" name="Diff 200ma - 50dma" dataDxfId="54"/>
    <tableColumn id="42" xr3:uid="{00000000-0010-0000-0200-00002A000000}" name="Diff 200ma - 20ma" dataDxfId="53"/>
    <tableColumn id="43" xr3:uid="{00000000-0010-0000-0200-00002B000000}" name="Diff 200ma - 14ma" dataDxfId="52"/>
    <tableColumn id="44" xr3:uid="{00000000-0010-0000-0200-00002C000000}" name="Diff 200ma - 8ma" dataDxfId="51"/>
    <tableColumn id="45" xr3:uid="{00000000-0010-0000-0200-00002D000000}" name="Diff 100ma - 50ma" dataDxfId="50"/>
    <tableColumn id="46" xr3:uid="{00000000-0010-0000-0200-00002E000000}" name="Diff 100ma - 50dma" dataDxfId="49"/>
    <tableColumn id="47" xr3:uid="{00000000-0010-0000-0200-00002F000000}" name="Diff 100ma - 20ma" dataDxfId="48"/>
    <tableColumn id="48" xr3:uid="{00000000-0010-0000-0200-000030000000}" name="Diff 100ma - 14ma" dataDxfId="47"/>
    <tableColumn id="49" xr3:uid="{00000000-0010-0000-0200-000031000000}" name="Diff 100ma - 8ma" dataDxfId="46"/>
    <tableColumn id="50" xr3:uid="{00000000-0010-0000-0200-000032000000}" name="Diff 50dma - 50ma" dataDxfId="45"/>
    <tableColumn id="51" xr3:uid="{00000000-0010-0000-0200-000033000000}" name="Diff 50dma - 20ma" dataDxfId="44"/>
    <tableColumn id="52" xr3:uid="{00000000-0010-0000-0200-000034000000}" name="Diff 50dma - 14ma" dataDxfId="43"/>
    <tableColumn id="53" xr3:uid="{00000000-0010-0000-0200-000035000000}" name="Diff 50dma - 8ma" dataDxfId="42"/>
    <tableColumn id="54" xr3:uid="{00000000-0010-0000-0200-000036000000}" name="Diff 50ma - 20ma" dataDxfId="41"/>
    <tableColumn id="55" xr3:uid="{00000000-0010-0000-0200-000037000000}" name="Diff 50ma - 14ma" dataDxfId="40"/>
    <tableColumn id="56" xr3:uid="{00000000-0010-0000-0200-000038000000}" name="Diff 50ma - 8ma" dataDxfId="39"/>
    <tableColumn id="57" xr3:uid="{00000000-0010-0000-0200-000039000000}" name="Diff 20ma - 14ma" dataDxfId="38"/>
    <tableColumn id="58" xr3:uid="{00000000-0010-0000-0200-00003A000000}" name="Diff 20ma - 8ma" dataDxfId="37"/>
    <tableColumn id="59" xr3:uid="{00000000-0010-0000-0200-00003B000000}" name="Diff 14ma - 8ma" dataDxfId="36"/>
    <tableColumn id="60" xr3:uid="{00000000-0010-0000-0200-00003C000000}" name="Diff ALL" dataDxfId="35"/>
    <tableColumn id="61" xr3:uid="{00000000-0010-0000-0200-00003D000000}" name="Diff ALL 100ma" dataDxfId="34"/>
    <tableColumn id="62" xr3:uid="{00000000-0010-0000-0200-00003E000000}" name="Diff ALL 20ma" dataDxfId="33"/>
    <tableColumn id="63" xr3:uid="{00000000-0010-0000-0200-00003F000000}" name="VolumeAvg(5)" dataDxfId="32"/>
    <tableColumn id="64" xr3:uid="{00000000-0010-0000-0200-000040000000}" name="VolumeAvg(10)" dataDxfId="31"/>
    <tableColumn id="65" xr3:uid="{00000000-0010-0000-0200-000041000000}" name="VolumeAvg(20)" dataDxfId="30"/>
    <tableColumn id="66" xr3:uid="{00000000-0010-0000-0200-000042000000}" name="VolumeAvg(50)" dataDxfId="29"/>
    <tableColumn id="67" xr3:uid="{00000000-0010-0000-0200-000043000000}" name="VolumeAvg(100)" dataDxfId="28"/>
    <tableColumn id="68" xr3:uid="{00000000-0010-0000-0200-000044000000}" name="VolumeAvg(200)" dataDxfId="27"/>
    <tableColumn id="69" xr3:uid="{00000000-0010-0000-0200-000045000000}" name="RSI (14)" dataDxfId="26"/>
    <tableColumn id="70" xr3:uid="{00000000-0010-0000-0200-000046000000}" name="UnfilledGapAbove" dataDxfId="25"/>
    <tableColumn id="71" xr3:uid="{00000000-0010-0000-0200-000047000000}" name="UnfilledGapBelow" dataDxfId="24"/>
    <tableColumn id="72" xr3:uid="{00000000-0010-0000-0200-000048000000}" name="Accu/Dist Line" dataDxfId="23"/>
    <tableColumn id="73" xr3:uid="{00000000-0010-0000-0200-000049000000}" name="Accu/Dist Osc(2,5)" dataDxfId="22"/>
    <tableColumn id="74" xr3:uid="{00000000-0010-0000-0200-00004A000000}" name="ATR(14)" dataDxfId="21"/>
    <tableColumn id="75" xr3:uid="{00000000-0010-0000-0200-00004B000000}" name="SMA(ATR(14), 50)" dataDxfId="20"/>
    <tableColumn id="76" xr3:uid="{00000000-0010-0000-0200-00004C000000}" name="Delta (SMA(ATR(14,50)), ATR(14))" dataDxfId="19"/>
    <tableColumn id="77" xr3:uid="{00000000-0010-0000-0200-00004D000000}" name="Chaikin Vol(10)" dataDxfId="18"/>
    <tableColumn id="78" xr3:uid="{00000000-0010-0000-0200-00004E000000}" name="Chaikin Vol(50)" dataDxfId="17"/>
    <tableColumn id="79" xr3:uid="{00000000-0010-0000-0200-00004F000000}" name="Bbands(20,2) Upper" dataDxfId="16"/>
    <tableColumn id="80" xr3:uid="{00000000-0010-0000-0200-000050000000}" name="Bbands(20,2) Lower" dataDxfId="15"/>
    <tableColumn id="81" xr3:uid="{00000000-0010-0000-0200-000051000000}" name="Bbands(20,2) Middle" dataDxfId="14"/>
    <tableColumn id="82" xr3:uid="{00000000-0010-0000-0200-000052000000}" name="Bbands(20,2) ULDelta" dataDxfId="13"/>
    <tableColumn id="83" xr3:uid="{00000000-0010-0000-0200-000053000000}" name="MACD(12,26,9) Value" dataDxfId="12"/>
    <tableColumn id="84" xr3:uid="{00000000-0010-0000-0200-000054000000}" name="MACD(12,26,9) Signal" dataDxfId="11"/>
    <tableColumn id="85" xr3:uid="{00000000-0010-0000-0200-000055000000}" name="MACD(12,26,9) Histo" dataDxfId="10"/>
    <tableColumn id="86" xr3:uid="{00000000-0010-0000-0200-000056000000}" name="MACD Value Slope" dataDxfId="9"/>
    <tableColumn id="87" xr3:uid="{00000000-0010-0000-0200-000057000000}" name="High 253 Day" dataDxfId="8"/>
    <tableColumn id="88" xr3:uid="{00000000-0010-0000-0200-000058000000}" name="% to High52" dataDxfId="7"/>
    <tableColumn id="89" xr3:uid="{00000000-0010-0000-0200-000059000000}" name="Low 253 Day" dataDxfId="6"/>
    <tableColumn id="90" xr3:uid="{00000000-0010-0000-0200-00005A000000}" name="% To Low 52" dataDxfId="5"/>
    <tableColumn id="91" xr3:uid="{00000000-0010-0000-0200-00005B000000}" name="On Balance Vol" dataDxfId="4"/>
    <tableColumn id="92" xr3:uid="{00000000-0010-0000-0200-00005C000000}" name="Variance(10)" dataDxfId="3"/>
    <tableColumn id="93" xr3:uid="{00000000-0010-0000-0200-00005D000000}" name="Variance(20)" dataDxfId="2"/>
    <tableColumn id="94" xr3:uid="{00000000-0010-0000-0200-00005E000000}" name="Variance(50)" dataDxfId="1"/>
    <tableColumn id="95" xr3:uid="{00000000-0010-0000-0200-00005F000000}" name="Williams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efitz_kiwi/status/1394759243044200450" TargetMode="External"/><Relationship Id="rId299" Type="http://schemas.openxmlformats.org/officeDocument/2006/relationships/drawing" Target="../drawings/drawing1.xml"/><Relationship Id="rId21" Type="http://schemas.openxmlformats.org/officeDocument/2006/relationships/hyperlink" Target="https://twitter.com/efitz_kiwi/status/1415445168782815235" TargetMode="External"/><Relationship Id="rId63" Type="http://schemas.openxmlformats.org/officeDocument/2006/relationships/hyperlink" Target="https://twitter.com/efitz_kiwi/status/1404616509486505987" TargetMode="External"/><Relationship Id="rId159" Type="http://schemas.openxmlformats.org/officeDocument/2006/relationships/hyperlink" Target="https://twitter.com/efitz_kiwi/status/1376247738996785167" TargetMode="External"/><Relationship Id="rId170" Type="http://schemas.openxmlformats.org/officeDocument/2006/relationships/hyperlink" Target="https://twitter.com/efitz_kiwi/status/1373988116365783040" TargetMode="External"/><Relationship Id="rId226" Type="http://schemas.openxmlformats.org/officeDocument/2006/relationships/hyperlink" Target="https://twitter.com/efitz_kiwi/status/1350535602962386944" TargetMode="External"/><Relationship Id="rId268" Type="http://schemas.openxmlformats.org/officeDocument/2006/relationships/hyperlink" Target="https://twitter.com/efitz_kiwi/status/1340775536621174790" TargetMode="External"/><Relationship Id="rId32" Type="http://schemas.openxmlformats.org/officeDocument/2006/relationships/hyperlink" Target="https://twitter.com/efitz_kiwi/status/1412471677410283526" TargetMode="External"/><Relationship Id="rId74" Type="http://schemas.openxmlformats.org/officeDocument/2006/relationships/hyperlink" Target="https://twitter.com/efitz_kiwi/status/1400896761955340294" TargetMode="External"/><Relationship Id="rId128" Type="http://schemas.openxmlformats.org/officeDocument/2006/relationships/hyperlink" Target="https://twitter.com/efitz_kiwi/status/1392910242858643457" TargetMode="External"/><Relationship Id="rId5" Type="http://schemas.openxmlformats.org/officeDocument/2006/relationships/hyperlink" Target="https://twitter.com/efitz_kiwi/status/1424729706562301953" TargetMode="External"/><Relationship Id="rId181" Type="http://schemas.openxmlformats.org/officeDocument/2006/relationships/hyperlink" Target="https://twitter.com/efitz_kiwi/status/1359347745899880448" TargetMode="External"/><Relationship Id="rId237" Type="http://schemas.openxmlformats.org/officeDocument/2006/relationships/hyperlink" Target="https://twitter.com/efitz_kiwi/status/1348366810698174466" TargetMode="External"/><Relationship Id="rId279" Type="http://schemas.openxmlformats.org/officeDocument/2006/relationships/hyperlink" Target="https://twitter.com/efitz_kiwi/status/1320901065882193922" TargetMode="External"/><Relationship Id="rId43" Type="http://schemas.openxmlformats.org/officeDocument/2006/relationships/hyperlink" Target="https://twitter.com/efitz_kiwi/status/1409508903457542144" TargetMode="External"/><Relationship Id="rId139" Type="http://schemas.openxmlformats.org/officeDocument/2006/relationships/hyperlink" Target="https://twitter.com/efitz_kiwi/status/1386842673168932871" TargetMode="External"/><Relationship Id="rId290" Type="http://schemas.openxmlformats.org/officeDocument/2006/relationships/hyperlink" Target="https://twitter.com/efitz_kiwi/status/1294424305535787008" TargetMode="External"/><Relationship Id="rId85" Type="http://schemas.openxmlformats.org/officeDocument/2006/relationships/hyperlink" Target="https://twitter.com/efitz_kiwi/status/1397545436655800328" TargetMode="External"/><Relationship Id="rId150" Type="http://schemas.openxmlformats.org/officeDocument/2006/relationships/hyperlink" Target="https://twitter.com/efitz_kiwi/status/1376247738996785167" TargetMode="External"/><Relationship Id="rId192" Type="http://schemas.openxmlformats.org/officeDocument/2006/relationships/hyperlink" Target="https://twitter.com/efitz_kiwi/status/1359347745899880448" TargetMode="External"/><Relationship Id="rId206" Type="http://schemas.openxmlformats.org/officeDocument/2006/relationships/hyperlink" Target="https://twitter.com/efitz_kiwi/status/1353749984995373066" TargetMode="External"/><Relationship Id="rId248" Type="http://schemas.openxmlformats.org/officeDocument/2006/relationships/hyperlink" Target="https://twitter.com/efitz_kiwi/status/1345877236432437250" TargetMode="External"/><Relationship Id="rId12" Type="http://schemas.openxmlformats.org/officeDocument/2006/relationships/hyperlink" Target="https://twitter.com/efitz_kiwi/status/1418217843523571713" TargetMode="External"/><Relationship Id="rId108" Type="http://schemas.openxmlformats.org/officeDocument/2006/relationships/hyperlink" Target="https://twitter.com/efitz_kiwi/status/1395411105657278465" TargetMode="External"/><Relationship Id="rId54" Type="http://schemas.openxmlformats.org/officeDocument/2006/relationships/hyperlink" Target="https://twitter.com/efitz_kiwi/status/1405583763237703683" TargetMode="External"/><Relationship Id="rId75" Type="http://schemas.openxmlformats.org/officeDocument/2006/relationships/hyperlink" Target="https://twitter.com/efitz_kiwi/status/1401996018544218118" TargetMode="External"/><Relationship Id="rId96" Type="http://schemas.openxmlformats.org/officeDocument/2006/relationships/hyperlink" Target="https://twitter.com/efitz_kiwi/status/1396871217857060869" TargetMode="External"/><Relationship Id="rId140" Type="http://schemas.openxmlformats.org/officeDocument/2006/relationships/hyperlink" Target="https://twitter.com/efitz_kiwi/status/1385317480986550280" TargetMode="External"/><Relationship Id="rId161" Type="http://schemas.openxmlformats.org/officeDocument/2006/relationships/hyperlink" Target="https://twitter.com/efitz_kiwi/status/1375141407812423687" TargetMode="External"/><Relationship Id="rId182" Type="http://schemas.openxmlformats.org/officeDocument/2006/relationships/hyperlink" Target="https://twitter.com/efitz_kiwi/status/1359347745899880448" TargetMode="External"/><Relationship Id="rId217" Type="http://schemas.openxmlformats.org/officeDocument/2006/relationships/hyperlink" Target="https://twitter.com/efitz_kiwi/status/1353441051168567301" TargetMode="External"/><Relationship Id="rId6" Type="http://schemas.openxmlformats.org/officeDocument/2006/relationships/hyperlink" Target="https://twitter.com/efitz_kiwi/status/1423357688000417798" TargetMode="External"/><Relationship Id="rId238" Type="http://schemas.openxmlformats.org/officeDocument/2006/relationships/hyperlink" Target="https://twitter.com/efitz_kiwi/status/1348366810698174466" TargetMode="External"/><Relationship Id="rId259" Type="http://schemas.openxmlformats.org/officeDocument/2006/relationships/hyperlink" Target="https://twitter.com/efitz_kiwi/status/1343570242149224452" TargetMode="External"/><Relationship Id="rId23" Type="http://schemas.openxmlformats.org/officeDocument/2006/relationships/hyperlink" Target="https://twitter.com/efitz_kiwi/status/1415020441568256005" TargetMode="External"/><Relationship Id="rId119" Type="http://schemas.openxmlformats.org/officeDocument/2006/relationships/hyperlink" Target="https://twitter.com/efitz_kiwi/status/1394758962285797387" TargetMode="External"/><Relationship Id="rId270" Type="http://schemas.openxmlformats.org/officeDocument/2006/relationships/hyperlink" Target="https://twitter.com/efitz_kiwi/status/1340775536621174790" TargetMode="External"/><Relationship Id="rId291" Type="http://schemas.openxmlformats.org/officeDocument/2006/relationships/hyperlink" Target="https://twitter.com/efitz_kiwi/status/1294424305535787008" TargetMode="External"/><Relationship Id="rId44" Type="http://schemas.openxmlformats.org/officeDocument/2006/relationships/hyperlink" Target="https://twitter.com/efitz_kiwi/status/1409594823770783747" TargetMode="External"/><Relationship Id="rId65" Type="http://schemas.openxmlformats.org/officeDocument/2006/relationships/hyperlink" Target="https://twitter.com/efitz_kiwi/status/1404606771809898499" TargetMode="External"/><Relationship Id="rId86" Type="http://schemas.openxmlformats.org/officeDocument/2006/relationships/hyperlink" Target="https://twitter.com/efitz_kiwi/status/1397573525767081984" TargetMode="External"/><Relationship Id="rId130" Type="http://schemas.openxmlformats.org/officeDocument/2006/relationships/hyperlink" Target="https://twitter.com/efitz_kiwi/status/1392910242858643457" TargetMode="External"/><Relationship Id="rId151" Type="http://schemas.openxmlformats.org/officeDocument/2006/relationships/hyperlink" Target="https://twitter.com/efitz_kiwi/status/1376247738996785167" TargetMode="External"/><Relationship Id="rId172" Type="http://schemas.openxmlformats.org/officeDocument/2006/relationships/hyperlink" Target="https://twitter.com/efitz_kiwi/status/1366780403298803720" TargetMode="External"/><Relationship Id="rId193" Type="http://schemas.openxmlformats.org/officeDocument/2006/relationships/hyperlink" Target="https://twitter.com/efitz_kiwi/status/1358632451732570115" TargetMode="External"/><Relationship Id="rId207" Type="http://schemas.openxmlformats.org/officeDocument/2006/relationships/hyperlink" Target="https://twitter.com/efitz_kiwi/status/1353749984995373066" TargetMode="External"/><Relationship Id="rId228" Type="http://schemas.openxmlformats.org/officeDocument/2006/relationships/hyperlink" Target="https://twitter.com/efitz_kiwi/status/1350535602962386944" TargetMode="External"/><Relationship Id="rId249" Type="http://schemas.openxmlformats.org/officeDocument/2006/relationships/hyperlink" Target="https://twitter.com/efitz_kiwi/status/1345877236432437250" TargetMode="External"/><Relationship Id="rId13" Type="http://schemas.openxmlformats.org/officeDocument/2006/relationships/hyperlink" Target="https://twitter.com/efitz_kiwi/status/1418208893646299136" TargetMode="External"/><Relationship Id="rId109" Type="http://schemas.openxmlformats.org/officeDocument/2006/relationships/hyperlink" Target="https://twitter.com/efitz_kiwi/status/1395412687753031681" TargetMode="External"/><Relationship Id="rId260" Type="http://schemas.openxmlformats.org/officeDocument/2006/relationships/hyperlink" Target="https://twitter.com/efitz_kiwi/status/1343570242149224452" TargetMode="External"/><Relationship Id="rId281" Type="http://schemas.openxmlformats.org/officeDocument/2006/relationships/hyperlink" Target="https://twitter.com/efitz_kiwi/status/1320893581486411776" TargetMode="External"/><Relationship Id="rId34" Type="http://schemas.openxmlformats.org/officeDocument/2006/relationships/hyperlink" Target="https://twitter.com/efitz_kiwi/status/1412424623065534464" TargetMode="External"/><Relationship Id="rId55" Type="http://schemas.openxmlformats.org/officeDocument/2006/relationships/hyperlink" Target="https://twitter.com/efitz_kiwi/status/1405737768831971335" TargetMode="External"/><Relationship Id="rId76" Type="http://schemas.openxmlformats.org/officeDocument/2006/relationships/hyperlink" Target="https://twitter.com/efitz_kiwi/status/1400870410913206274" TargetMode="External"/><Relationship Id="rId97" Type="http://schemas.openxmlformats.org/officeDocument/2006/relationships/hyperlink" Target="https://twitter.com/efitz_kiwi/status/1396941900930768900" TargetMode="External"/><Relationship Id="rId120" Type="http://schemas.openxmlformats.org/officeDocument/2006/relationships/hyperlink" Target="https://twitter.com/efitz_kiwi/status/1394707728308838402" TargetMode="External"/><Relationship Id="rId141" Type="http://schemas.openxmlformats.org/officeDocument/2006/relationships/hyperlink" Target="https://twitter.com/efitz_kiwi/status/1384552894972801035" TargetMode="External"/><Relationship Id="rId7" Type="http://schemas.openxmlformats.org/officeDocument/2006/relationships/hyperlink" Target="https://twitter.com/efitz_kiwi/status/1423304704377950210" TargetMode="External"/><Relationship Id="rId162" Type="http://schemas.openxmlformats.org/officeDocument/2006/relationships/hyperlink" Target="https://twitter.com/efitz_kiwi/status/1373988116365783040" TargetMode="External"/><Relationship Id="rId183" Type="http://schemas.openxmlformats.org/officeDocument/2006/relationships/hyperlink" Target="https://twitter.com/efitz_kiwi/status/1359347745899880448" TargetMode="External"/><Relationship Id="rId218" Type="http://schemas.openxmlformats.org/officeDocument/2006/relationships/hyperlink" Target="https://twitter.com/efitz_kiwi/status/1353441051168567301" TargetMode="External"/><Relationship Id="rId239" Type="http://schemas.openxmlformats.org/officeDocument/2006/relationships/hyperlink" Target="https://twitter.com/efitz_kiwi/status/1348366810698174466" TargetMode="External"/><Relationship Id="rId250" Type="http://schemas.openxmlformats.org/officeDocument/2006/relationships/hyperlink" Target="https://twitter.com/efitz_kiwi/status/1345877236432437250" TargetMode="External"/><Relationship Id="rId271" Type="http://schemas.openxmlformats.org/officeDocument/2006/relationships/hyperlink" Target="https://twitter.com/efitz_kiwi/status/1340775536621174790" TargetMode="External"/><Relationship Id="rId292" Type="http://schemas.openxmlformats.org/officeDocument/2006/relationships/hyperlink" Target="https://twitter.com/efitz_kiwi/status/1294424305535787008" TargetMode="External"/><Relationship Id="rId24" Type="http://schemas.openxmlformats.org/officeDocument/2006/relationships/hyperlink" Target="https://twitter.com/efitz_kiwi/status/1414976533039620096" TargetMode="External"/><Relationship Id="rId45" Type="http://schemas.openxmlformats.org/officeDocument/2006/relationships/hyperlink" Target="https://twitter.com/efitz_kiwi/status/1409728226319077380" TargetMode="External"/><Relationship Id="rId66" Type="http://schemas.openxmlformats.org/officeDocument/2006/relationships/hyperlink" Target="https://twitter.com/efitz_kiwi/status/1403056557995212804" TargetMode="External"/><Relationship Id="rId87" Type="http://schemas.openxmlformats.org/officeDocument/2006/relationships/hyperlink" Target="https://twitter.com/efitz_kiwi/status/1397583941314482177" TargetMode="External"/><Relationship Id="rId110" Type="http://schemas.openxmlformats.org/officeDocument/2006/relationships/hyperlink" Target="https://twitter.com/efitz_kiwi/status/1395441229584904194" TargetMode="External"/><Relationship Id="rId131" Type="http://schemas.openxmlformats.org/officeDocument/2006/relationships/hyperlink" Target="https://twitter.com/efitz_kiwi/status/1392545306332516357" TargetMode="External"/><Relationship Id="rId152" Type="http://schemas.openxmlformats.org/officeDocument/2006/relationships/hyperlink" Target="https://twitter.com/efitz_kiwi/status/1376247738996785167" TargetMode="External"/><Relationship Id="rId173" Type="http://schemas.openxmlformats.org/officeDocument/2006/relationships/hyperlink" Target="https://twitter.com/efitz_kiwi/status/1364618081633501184" TargetMode="External"/><Relationship Id="rId194" Type="http://schemas.openxmlformats.org/officeDocument/2006/relationships/hyperlink" Target="https://twitter.com/efitz_kiwi/status/1358632451732570115" TargetMode="External"/><Relationship Id="rId208" Type="http://schemas.openxmlformats.org/officeDocument/2006/relationships/hyperlink" Target="https://twitter.com/efitz_kiwi/status/1353441051168567301" TargetMode="External"/><Relationship Id="rId229" Type="http://schemas.openxmlformats.org/officeDocument/2006/relationships/hyperlink" Target="https://twitter.com/efitz_kiwi/status/1350535602962386944" TargetMode="External"/><Relationship Id="rId240" Type="http://schemas.openxmlformats.org/officeDocument/2006/relationships/hyperlink" Target="https://twitter.com/efitz_kiwi/status/1348366810698174466" TargetMode="External"/><Relationship Id="rId261" Type="http://schemas.openxmlformats.org/officeDocument/2006/relationships/hyperlink" Target="https://twitter.com/efitz_kiwi/status/1343570242149224452" TargetMode="External"/><Relationship Id="rId14" Type="http://schemas.openxmlformats.org/officeDocument/2006/relationships/hyperlink" Target="https://twitter.com/efitz_kiwi/status/1417892638871654404" TargetMode="External"/><Relationship Id="rId35" Type="http://schemas.openxmlformats.org/officeDocument/2006/relationships/hyperlink" Target="https://twitter.com/efitz_kiwi/status/1411041436158550017" TargetMode="External"/><Relationship Id="rId56" Type="http://schemas.openxmlformats.org/officeDocument/2006/relationships/hyperlink" Target="https://twitter.com/efitz_kiwi/status/1404608094840238087" TargetMode="External"/><Relationship Id="rId77" Type="http://schemas.openxmlformats.org/officeDocument/2006/relationships/hyperlink" Target="https://twitter.com/efitz_kiwi/status/1400868279485448192" TargetMode="External"/><Relationship Id="rId100" Type="http://schemas.openxmlformats.org/officeDocument/2006/relationships/hyperlink" Target="https://twitter.com/efitz_kiwi/status/1395858177909010440" TargetMode="External"/><Relationship Id="rId282" Type="http://schemas.openxmlformats.org/officeDocument/2006/relationships/hyperlink" Target="https://twitter.com/efitz_kiwi/status/1316417855005523968" TargetMode="External"/><Relationship Id="rId8" Type="http://schemas.openxmlformats.org/officeDocument/2006/relationships/hyperlink" Target="https://twitter.com/efitz_kiwi/status/1423304704377950210" TargetMode="External"/><Relationship Id="rId98" Type="http://schemas.openxmlformats.org/officeDocument/2006/relationships/hyperlink" Target="https://twitter.com/efitz_kiwi/status/1395780651291394055" TargetMode="External"/><Relationship Id="rId121" Type="http://schemas.openxmlformats.org/officeDocument/2006/relationships/hyperlink" Target="https://twitter.com/efitz_kiwi/status/1394755890830512130" TargetMode="External"/><Relationship Id="rId142" Type="http://schemas.openxmlformats.org/officeDocument/2006/relationships/hyperlink" Target="https://twitter.com/efitz_kiwi/status/1384671535022149633" TargetMode="External"/><Relationship Id="rId163" Type="http://schemas.openxmlformats.org/officeDocument/2006/relationships/hyperlink" Target="https://twitter.com/efitz_kiwi/status/1373988116365783040" TargetMode="External"/><Relationship Id="rId184" Type="http://schemas.openxmlformats.org/officeDocument/2006/relationships/hyperlink" Target="https://twitter.com/efitz_kiwi/status/1359347745899880448" TargetMode="External"/><Relationship Id="rId219" Type="http://schemas.openxmlformats.org/officeDocument/2006/relationships/hyperlink" Target="https://twitter.com/efitz_kiwi/status/1350535602962386944" TargetMode="External"/><Relationship Id="rId230" Type="http://schemas.openxmlformats.org/officeDocument/2006/relationships/hyperlink" Target="https://twitter.com/efitz_kiwi/status/1350535602962386944" TargetMode="External"/><Relationship Id="rId251" Type="http://schemas.openxmlformats.org/officeDocument/2006/relationships/hyperlink" Target="https://twitter.com/efitz_kiwi/status/1345877236432437250" TargetMode="External"/><Relationship Id="rId25" Type="http://schemas.openxmlformats.org/officeDocument/2006/relationships/hyperlink" Target="https://twitter.com/efitz_kiwi/status/1414669784050962438" TargetMode="External"/><Relationship Id="rId46" Type="http://schemas.openxmlformats.org/officeDocument/2006/relationships/hyperlink" Target="https://twitter.com/efitz_kiwi/status/1408120815699304455" TargetMode="External"/><Relationship Id="rId67" Type="http://schemas.openxmlformats.org/officeDocument/2006/relationships/hyperlink" Target="https://twitter.com/efitz_kiwi/status/1403121145587589121" TargetMode="External"/><Relationship Id="rId272" Type="http://schemas.openxmlformats.org/officeDocument/2006/relationships/hyperlink" Target="https://twitter.com/efitz_kiwi/status/1338317751258144769" TargetMode="External"/><Relationship Id="rId293" Type="http://schemas.openxmlformats.org/officeDocument/2006/relationships/hyperlink" Target="https://twitter.com/efitz_kiwi/status/1294424305535787008" TargetMode="External"/><Relationship Id="rId88" Type="http://schemas.openxmlformats.org/officeDocument/2006/relationships/hyperlink" Target="https://twitter.com/efitz_kiwi/status/1397237808964714501" TargetMode="External"/><Relationship Id="rId111" Type="http://schemas.openxmlformats.org/officeDocument/2006/relationships/hyperlink" Target="https://twitter.com/efitz_kiwi/status/1395073738614452227" TargetMode="External"/><Relationship Id="rId132" Type="http://schemas.openxmlformats.org/officeDocument/2006/relationships/hyperlink" Target="https://twitter.com/efitz_kiwi/status/1392267667218878467" TargetMode="External"/><Relationship Id="rId153" Type="http://schemas.openxmlformats.org/officeDocument/2006/relationships/hyperlink" Target="https://twitter.com/efitz_kiwi/status/1376247738996785167" TargetMode="External"/><Relationship Id="rId174" Type="http://schemas.openxmlformats.org/officeDocument/2006/relationships/hyperlink" Target="https://twitter.com/efitz_kiwi/status/1363979414367850509" TargetMode="External"/><Relationship Id="rId195" Type="http://schemas.openxmlformats.org/officeDocument/2006/relationships/hyperlink" Target="https://twitter.com/efitz_kiwi/status/1358632451732570115" TargetMode="External"/><Relationship Id="rId209" Type="http://schemas.openxmlformats.org/officeDocument/2006/relationships/hyperlink" Target="https://twitter.com/efitz_kiwi/status/1353441051168567301" TargetMode="External"/><Relationship Id="rId220" Type="http://schemas.openxmlformats.org/officeDocument/2006/relationships/hyperlink" Target="https://twitter.com/efitz_kiwi/status/1350535602962386944" TargetMode="External"/><Relationship Id="rId241" Type="http://schemas.openxmlformats.org/officeDocument/2006/relationships/hyperlink" Target="https://twitter.com/efitz_kiwi/status/1347988013725470720" TargetMode="External"/><Relationship Id="rId15" Type="http://schemas.openxmlformats.org/officeDocument/2006/relationships/hyperlink" Target="https://twitter.com/efitz_kiwi/status/1417483166558871554" TargetMode="External"/><Relationship Id="rId36" Type="http://schemas.openxmlformats.org/officeDocument/2006/relationships/hyperlink" Target="https://twitter.com/efitz_kiwi/status/1411020770696908803" TargetMode="External"/><Relationship Id="rId57" Type="http://schemas.openxmlformats.org/officeDocument/2006/relationships/hyperlink" Target="https://twitter.com/efitz_kiwi/status/1404612169644265472" TargetMode="External"/><Relationship Id="rId262" Type="http://schemas.openxmlformats.org/officeDocument/2006/relationships/hyperlink" Target="https://twitter.com/efitz_kiwi/status/1343570242149224452" TargetMode="External"/><Relationship Id="rId283" Type="http://schemas.openxmlformats.org/officeDocument/2006/relationships/hyperlink" Target="https://twitter.com/efitz_kiwi/status/1315814210459312130" TargetMode="External"/><Relationship Id="rId78" Type="http://schemas.openxmlformats.org/officeDocument/2006/relationships/hyperlink" Target="https://twitter.com/efitz_kiwi/status/1401991384429694981" TargetMode="External"/><Relationship Id="rId99" Type="http://schemas.openxmlformats.org/officeDocument/2006/relationships/hyperlink" Target="https://twitter.com/efitz_kiwi/status/1395857446434918401" TargetMode="External"/><Relationship Id="rId101" Type="http://schemas.openxmlformats.org/officeDocument/2006/relationships/hyperlink" Target="https://twitter.com/efitz_kiwi/status/1396309583317114882" TargetMode="External"/><Relationship Id="rId122" Type="http://schemas.openxmlformats.org/officeDocument/2006/relationships/hyperlink" Target="https://twitter.com/efitz_kiwi/status/1394735936156614656" TargetMode="External"/><Relationship Id="rId143" Type="http://schemas.openxmlformats.org/officeDocument/2006/relationships/hyperlink" Target="https://twitter.com/efitz_kiwi/status/1380177366337605634" TargetMode="External"/><Relationship Id="rId164" Type="http://schemas.openxmlformats.org/officeDocument/2006/relationships/hyperlink" Target="https://twitter.com/efitz_kiwi/status/1373988116365783040" TargetMode="External"/><Relationship Id="rId185" Type="http://schemas.openxmlformats.org/officeDocument/2006/relationships/hyperlink" Target="https://twitter.com/efitz_kiwi/status/1359347745899880448" TargetMode="External"/><Relationship Id="rId9" Type="http://schemas.openxmlformats.org/officeDocument/2006/relationships/hyperlink" Target="https://twitter.com/efitz_kiwi/status/1420783061126549512" TargetMode="External"/><Relationship Id="rId210" Type="http://schemas.openxmlformats.org/officeDocument/2006/relationships/hyperlink" Target="https://twitter.com/efitz_kiwi/status/1353441051168567301" TargetMode="External"/><Relationship Id="rId26" Type="http://schemas.openxmlformats.org/officeDocument/2006/relationships/hyperlink" Target="https://twitter.com/efitz_kiwi/status/1414665365733380096" TargetMode="External"/><Relationship Id="rId231" Type="http://schemas.openxmlformats.org/officeDocument/2006/relationships/hyperlink" Target="https://twitter.com/efitz_kiwi/status/1348366810698174466" TargetMode="External"/><Relationship Id="rId252" Type="http://schemas.openxmlformats.org/officeDocument/2006/relationships/hyperlink" Target="https://twitter.com/efitz_kiwi/status/1345877236432437250" TargetMode="External"/><Relationship Id="rId273" Type="http://schemas.openxmlformats.org/officeDocument/2006/relationships/hyperlink" Target="https://twitter.com/efitz_kiwi/status/1332386088057524225" TargetMode="External"/><Relationship Id="rId294" Type="http://schemas.openxmlformats.org/officeDocument/2006/relationships/hyperlink" Target="https://twitter.com/efitz_kiwi/status/1294424305535787008" TargetMode="External"/><Relationship Id="rId47" Type="http://schemas.openxmlformats.org/officeDocument/2006/relationships/hyperlink" Target="https://twitter.com/efitz_kiwi/status/1407751316059967494" TargetMode="External"/><Relationship Id="rId68" Type="http://schemas.openxmlformats.org/officeDocument/2006/relationships/hyperlink" Target="https://twitter.com/efitz_kiwi/status/1403079902925148164" TargetMode="External"/><Relationship Id="rId89" Type="http://schemas.openxmlformats.org/officeDocument/2006/relationships/hyperlink" Target="https://twitter.com/efitz_kiwi/status/1397240531642617856" TargetMode="External"/><Relationship Id="rId112" Type="http://schemas.openxmlformats.org/officeDocument/2006/relationships/hyperlink" Target="https://twitter.com/efitz_kiwi/status/1395139008913678344" TargetMode="External"/><Relationship Id="rId133" Type="http://schemas.openxmlformats.org/officeDocument/2006/relationships/hyperlink" Target="https://twitter.com/efitz_kiwi/status/1391803509390053387" TargetMode="External"/><Relationship Id="rId154" Type="http://schemas.openxmlformats.org/officeDocument/2006/relationships/hyperlink" Target="https://twitter.com/efitz_kiwi/status/1376247738996785167" TargetMode="External"/><Relationship Id="rId175" Type="http://schemas.openxmlformats.org/officeDocument/2006/relationships/hyperlink" Target="https://twitter.com/efitz_kiwi/status/1363979414367850509" TargetMode="External"/><Relationship Id="rId196" Type="http://schemas.openxmlformats.org/officeDocument/2006/relationships/hyperlink" Target="https://twitter.com/efitz_kiwi/status/1358632451732570115" TargetMode="External"/><Relationship Id="rId200" Type="http://schemas.openxmlformats.org/officeDocument/2006/relationships/hyperlink" Target="https://twitter.com/efitz_kiwi/status/1358632451732570115" TargetMode="External"/><Relationship Id="rId16" Type="http://schemas.openxmlformats.org/officeDocument/2006/relationships/hyperlink" Target="https://twitter.com/efitz_kiwi/status/1417482118301720576" TargetMode="External"/><Relationship Id="rId221" Type="http://schemas.openxmlformats.org/officeDocument/2006/relationships/hyperlink" Target="https://twitter.com/efitz_kiwi/status/1350535602962386944" TargetMode="External"/><Relationship Id="rId242" Type="http://schemas.openxmlformats.org/officeDocument/2006/relationships/hyperlink" Target="https://twitter.com/efitz_kiwi/status/1345877236432437250" TargetMode="External"/><Relationship Id="rId263" Type="http://schemas.openxmlformats.org/officeDocument/2006/relationships/hyperlink" Target="https://twitter.com/efitz_kiwi/status/1341572364337893376" TargetMode="External"/><Relationship Id="rId284" Type="http://schemas.openxmlformats.org/officeDocument/2006/relationships/hyperlink" Target="https://twitter.com/efitz_kiwi/status/1315805462844104704" TargetMode="External"/><Relationship Id="rId37" Type="http://schemas.openxmlformats.org/officeDocument/2006/relationships/hyperlink" Target="https://twitter.com/efitz_kiwi/status/1410642323235553289" TargetMode="External"/><Relationship Id="rId58" Type="http://schemas.openxmlformats.org/officeDocument/2006/relationships/hyperlink" Target="https://twitter.com/efitz_kiwi/status/1404610005618335746" TargetMode="External"/><Relationship Id="rId79" Type="http://schemas.openxmlformats.org/officeDocument/2006/relationships/hyperlink" Target="https://twitter.com/efitz_kiwi/status/1400869611319566343" TargetMode="External"/><Relationship Id="rId102" Type="http://schemas.openxmlformats.org/officeDocument/2006/relationships/hyperlink" Target="https://twitter.com/RealBearishBULL/status/1395414674376585218" TargetMode="External"/><Relationship Id="rId123" Type="http://schemas.openxmlformats.org/officeDocument/2006/relationships/hyperlink" Target="https://twitter.com/efitz_kiwi/status/1394737245979086851" TargetMode="External"/><Relationship Id="rId144" Type="http://schemas.openxmlformats.org/officeDocument/2006/relationships/hyperlink" Target="https://twitter.com/efitz_kiwi/status/1379796138740572167" TargetMode="External"/><Relationship Id="rId90" Type="http://schemas.openxmlformats.org/officeDocument/2006/relationships/hyperlink" Target="https://twitter.com/efitz_kiwi/status/1397039613089300483" TargetMode="External"/><Relationship Id="rId165" Type="http://schemas.openxmlformats.org/officeDocument/2006/relationships/hyperlink" Target="https://twitter.com/efitz_kiwi/status/1373988116365783040" TargetMode="External"/><Relationship Id="rId186" Type="http://schemas.openxmlformats.org/officeDocument/2006/relationships/hyperlink" Target="https://twitter.com/efitz_kiwi/status/1359347745899880448" TargetMode="External"/><Relationship Id="rId211" Type="http://schemas.openxmlformats.org/officeDocument/2006/relationships/hyperlink" Target="https://twitter.com/efitz_kiwi/status/1353441051168567301" TargetMode="External"/><Relationship Id="rId232" Type="http://schemas.openxmlformats.org/officeDocument/2006/relationships/hyperlink" Target="https://twitter.com/efitz_kiwi/status/1348366810698174466" TargetMode="External"/><Relationship Id="rId253" Type="http://schemas.openxmlformats.org/officeDocument/2006/relationships/hyperlink" Target="https://twitter.com/efitz_kiwi/status/1345877236432437250" TargetMode="External"/><Relationship Id="rId274" Type="http://schemas.openxmlformats.org/officeDocument/2006/relationships/hyperlink" Target="https://twitter.com/efitz_kiwi/status/1332386088057524225" TargetMode="External"/><Relationship Id="rId295" Type="http://schemas.openxmlformats.org/officeDocument/2006/relationships/hyperlink" Target="https://twitter.com/efitz_kiwi/status/1294424305535787008" TargetMode="External"/><Relationship Id="rId27" Type="http://schemas.openxmlformats.org/officeDocument/2006/relationships/hyperlink" Target="https://twitter.com/efitz_kiwi/status/1414639947496271878" TargetMode="External"/><Relationship Id="rId48" Type="http://schemas.openxmlformats.org/officeDocument/2006/relationships/hyperlink" Target="https://twitter.com/efitz_kiwi/status/1407707026818535425" TargetMode="External"/><Relationship Id="rId69" Type="http://schemas.openxmlformats.org/officeDocument/2006/relationships/hyperlink" Target="https://twitter.com/efitz_kiwi/status/1402672842584608775" TargetMode="External"/><Relationship Id="rId113" Type="http://schemas.openxmlformats.org/officeDocument/2006/relationships/hyperlink" Target="https://twitter.com/efitz_kiwi/status/1395099486930751488" TargetMode="External"/><Relationship Id="rId134" Type="http://schemas.openxmlformats.org/officeDocument/2006/relationships/hyperlink" Target="https://twitter.com/efitz_kiwi/status/1390682022461509637" TargetMode="External"/><Relationship Id="rId80" Type="http://schemas.openxmlformats.org/officeDocument/2006/relationships/hyperlink" Target="https://twitter.com/efitz_kiwi/status/1400870911956430850" TargetMode="External"/><Relationship Id="rId155" Type="http://schemas.openxmlformats.org/officeDocument/2006/relationships/hyperlink" Target="https://twitter.com/efitz_kiwi/status/1376247738996785167" TargetMode="External"/><Relationship Id="rId176" Type="http://schemas.openxmlformats.org/officeDocument/2006/relationships/hyperlink" Target="https://twitter.com/efitz_kiwi/status/1362849056935051269" TargetMode="External"/><Relationship Id="rId197" Type="http://schemas.openxmlformats.org/officeDocument/2006/relationships/hyperlink" Target="https://twitter.com/efitz_kiwi/status/1358632451732570115" TargetMode="External"/><Relationship Id="rId201" Type="http://schemas.openxmlformats.org/officeDocument/2006/relationships/hyperlink" Target="https://twitter.com/efitz_kiwi/status/1358632451732570115" TargetMode="External"/><Relationship Id="rId222" Type="http://schemas.openxmlformats.org/officeDocument/2006/relationships/hyperlink" Target="https://twitter.com/efitz_kiwi/status/1350535602962386944" TargetMode="External"/><Relationship Id="rId243" Type="http://schemas.openxmlformats.org/officeDocument/2006/relationships/hyperlink" Target="https://twitter.com/efitz_kiwi/status/1345877236432437250" TargetMode="External"/><Relationship Id="rId264" Type="http://schemas.openxmlformats.org/officeDocument/2006/relationships/hyperlink" Target="https://twitter.com/efitz_kiwi/status/1340775536621174790" TargetMode="External"/><Relationship Id="rId285" Type="http://schemas.openxmlformats.org/officeDocument/2006/relationships/hyperlink" Target="https://twitter.com/efitz_kiwi/status/1314592050550124544" TargetMode="External"/><Relationship Id="rId17" Type="http://schemas.openxmlformats.org/officeDocument/2006/relationships/hyperlink" Target="https://twitter.com/efitz_kiwi/status/1417133382161641476" TargetMode="External"/><Relationship Id="rId38" Type="http://schemas.openxmlformats.org/officeDocument/2006/relationships/hyperlink" Target="https://twitter.com/efitz_kiwi/status/1410648799291260931" TargetMode="External"/><Relationship Id="rId59" Type="http://schemas.openxmlformats.org/officeDocument/2006/relationships/hyperlink" Target="https://twitter.com/efitz_kiwi/status/1404617321273044997" TargetMode="External"/><Relationship Id="rId103" Type="http://schemas.openxmlformats.org/officeDocument/2006/relationships/hyperlink" Target="https://twitter.com/efitz_kiwi/status/1395423666192662529" TargetMode="External"/><Relationship Id="rId124" Type="http://schemas.openxmlformats.org/officeDocument/2006/relationships/hyperlink" Target="https://twitter.com/efitz_kiwi/status/1394739118815449093" TargetMode="External"/><Relationship Id="rId70" Type="http://schemas.openxmlformats.org/officeDocument/2006/relationships/hyperlink" Target="https://twitter.com/efitz_kiwi/status/1402672306422484995" TargetMode="External"/><Relationship Id="rId91" Type="http://schemas.openxmlformats.org/officeDocument/2006/relationships/hyperlink" Target="https://twitter.com/efitz_kiwi/status/1396863377033547782" TargetMode="External"/><Relationship Id="rId145" Type="http://schemas.openxmlformats.org/officeDocument/2006/relationships/hyperlink" Target="https://twitter.com/efitz_kiwi/status/1379878169617051649" TargetMode="External"/><Relationship Id="rId166" Type="http://schemas.openxmlformats.org/officeDocument/2006/relationships/hyperlink" Target="https://twitter.com/efitz_kiwi/status/1373988116365783040" TargetMode="External"/><Relationship Id="rId187" Type="http://schemas.openxmlformats.org/officeDocument/2006/relationships/hyperlink" Target="https://twitter.com/efitz_kiwi/status/1359347745899880448" TargetMode="External"/><Relationship Id="rId1" Type="http://schemas.openxmlformats.org/officeDocument/2006/relationships/hyperlink" Target="https://twitter.com/efitz_kiwi/status/1424801701991788545" TargetMode="External"/><Relationship Id="rId212" Type="http://schemas.openxmlformats.org/officeDocument/2006/relationships/hyperlink" Target="https://twitter.com/efitz_kiwi/status/1353441051168567301" TargetMode="External"/><Relationship Id="rId233" Type="http://schemas.openxmlformats.org/officeDocument/2006/relationships/hyperlink" Target="https://twitter.com/efitz_kiwi/status/1348366810698174466" TargetMode="External"/><Relationship Id="rId254" Type="http://schemas.openxmlformats.org/officeDocument/2006/relationships/hyperlink" Target="https://twitter.com/efitz_kiwi/status/1343570242149224452" TargetMode="External"/><Relationship Id="rId28" Type="http://schemas.openxmlformats.org/officeDocument/2006/relationships/hyperlink" Target="https://twitter.com/efitz_kiwi/status/1413537234276528130" TargetMode="External"/><Relationship Id="rId49" Type="http://schemas.openxmlformats.org/officeDocument/2006/relationships/hyperlink" Target="https://twitter.com/efitz_kiwi/status/1407706679626670080" TargetMode="External"/><Relationship Id="rId114" Type="http://schemas.openxmlformats.org/officeDocument/2006/relationships/hyperlink" Target="https://twitter.com/efitz_kiwi/status/1395083546969128966" TargetMode="External"/><Relationship Id="rId275" Type="http://schemas.openxmlformats.org/officeDocument/2006/relationships/hyperlink" Target="https://twitter.com/efitz_kiwi/status/1332386088057524225" TargetMode="External"/><Relationship Id="rId296" Type="http://schemas.openxmlformats.org/officeDocument/2006/relationships/hyperlink" Target="https://twitter.com/efitz_kiwi/status/1294424305535787008" TargetMode="External"/><Relationship Id="rId300" Type="http://schemas.openxmlformats.org/officeDocument/2006/relationships/table" Target="../tables/table1.xml"/><Relationship Id="rId60" Type="http://schemas.openxmlformats.org/officeDocument/2006/relationships/hyperlink" Target="https://twitter.com/efitz_kiwi/status/1404605911809859587" TargetMode="External"/><Relationship Id="rId81" Type="http://schemas.openxmlformats.org/officeDocument/2006/relationships/hyperlink" Target="https://twitter.com/efitz_kiwi/status/1400895563026112517" TargetMode="External"/><Relationship Id="rId135" Type="http://schemas.openxmlformats.org/officeDocument/2006/relationships/hyperlink" Target="https://twitter.com/efitz_kiwi/status/1390696437822984192" TargetMode="External"/><Relationship Id="rId156" Type="http://schemas.openxmlformats.org/officeDocument/2006/relationships/hyperlink" Target="https://twitter.com/efitz_kiwi/status/1376247738996785167" TargetMode="External"/><Relationship Id="rId177" Type="http://schemas.openxmlformats.org/officeDocument/2006/relationships/hyperlink" Target="https://twitter.com/efitz_kiwi/status/1361500892575526914" TargetMode="External"/><Relationship Id="rId198" Type="http://schemas.openxmlformats.org/officeDocument/2006/relationships/hyperlink" Target="https://twitter.com/efitz_kiwi/status/1358632451732570115" TargetMode="External"/><Relationship Id="rId202" Type="http://schemas.openxmlformats.org/officeDocument/2006/relationships/hyperlink" Target="https://twitter.com/efitz_kiwi/status/1358632451732570115" TargetMode="External"/><Relationship Id="rId223" Type="http://schemas.openxmlformats.org/officeDocument/2006/relationships/hyperlink" Target="https://twitter.com/efitz_kiwi/status/1350535602962386944" TargetMode="External"/><Relationship Id="rId244" Type="http://schemas.openxmlformats.org/officeDocument/2006/relationships/hyperlink" Target="https://twitter.com/efitz_kiwi/status/1345877236432437250" TargetMode="External"/><Relationship Id="rId18" Type="http://schemas.openxmlformats.org/officeDocument/2006/relationships/hyperlink" Target="https://twitter.com/efitz_kiwi/status/1416057581928435718" TargetMode="External"/><Relationship Id="rId39" Type="http://schemas.openxmlformats.org/officeDocument/2006/relationships/hyperlink" Target="https://twitter.com/efitz_kiwi/status/1410242070439251968" TargetMode="External"/><Relationship Id="rId265" Type="http://schemas.openxmlformats.org/officeDocument/2006/relationships/hyperlink" Target="https://twitter.com/efitz_kiwi/status/1340775536621174790" TargetMode="External"/><Relationship Id="rId286" Type="http://schemas.openxmlformats.org/officeDocument/2006/relationships/hyperlink" Target="https://twitter.com/efitz_kiwi/status/1313820880913522688" TargetMode="External"/><Relationship Id="rId50" Type="http://schemas.openxmlformats.org/officeDocument/2006/relationships/hyperlink" Target="https://twitter.com/efitz_kiwi/status/1407087666294923266" TargetMode="External"/><Relationship Id="rId104" Type="http://schemas.openxmlformats.org/officeDocument/2006/relationships/hyperlink" Target="https://twitter.com/efitz_kiwi/status/1395446359646420998" TargetMode="External"/><Relationship Id="rId125" Type="http://schemas.openxmlformats.org/officeDocument/2006/relationships/hyperlink" Target="https://twitter.com/efitz_kiwi/status/1394739331558957060" TargetMode="External"/><Relationship Id="rId146" Type="http://schemas.openxmlformats.org/officeDocument/2006/relationships/hyperlink" Target="https://twitter.com/efitz_kiwi/status/1379500260586819599" TargetMode="External"/><Relationship Id="rId167" Type="http://schemas.openxmlformats.org/officeDocument/2006/relationships/hyperlink" Target="https://twitter.com/efitz_kiwi/status/1373988116365783040" TargetMode="External"/><Relationship Id="rId188" Type="http://schemas.openxmlformats.org/officeDocument/2006/relationships/hyperlink" Target="https://twitter.com/efitz_kiwi/status/1359347745899880448" TargetMode="External"/><Relationship Id="rId71" Type="http://schemas.openxmlformats.org/officeDocument/2006/relationships/hyperlink" Target="https://twitter.com/efitz_kiwi/status/1402341483840167937" TargetMode="External"/><Relationship Id="rId92" Type="http://schemas.openxmlformats.org/officeDocument/2006/relationships/hyperlink" Target="https://twitter.com/efitz_kiwi/status/1396864227852398592" TargetMode="External"/><Relationship Id="rId213" Type="http://schemas.openxmlformats.org/officeDocument/2006/relationships/hyperlink" Target="https://twitter.com/efitz_kiwi/status/1353441051168567301" TargetMode="External"/><Relationship Id="rId234" Type="http://schemas.openxmlformats.org/officeDocument/2006/relationships/hyperlink" Target="https://twitter.com/efitz_kiwi/status/1348366810698174466" TargetMode="External"/><Relationship Id="rId2" Type="http://schemas.openxmlformats.org/officeDocument/2006/relationships/hyperlink" Target="https://twitter.com/efitz_kiwi/status/1424801701991788545" TargetMode="External"/><Relationship Id="rId29" Type="http://schemas.openxmlformats.org/officeDocument/2006/relationships/hyperlink" Target="https://twitter.com/efitz_kiwi/status/1413152365616799745" TargetMode="External"/><Relationship Id="rId255" Type="http://schemas.openxmlformats.org/officeDocument/2006/relationships/hyperlink" Target="https://twitter.com/efitz_kiwi/status/1343570242149224452" TargetMode="External"/><Relationship Id="rId276" Type="http://schemas.openxmlformats.org/officeDocument/2006/relationships/hyperlink" Target="https://twitter.com/efitz_kiwi/status/1327316690980511746" TargetMode="External"/><Relationship Id="rId297" Type="http://schemas.openxmlformats.org/officeDocument/2006/relationships/hyperlink" Target="https://twitter.com/RadioSilentplay/status/1315667556133490697" TargetMode="External"/><Relationship Id="rId40" Type="http://schemas.openxmlformats.org/officeDocument/2006/relationships/hyperlink" Target="https://twitter.com/efitz_kiwi/status/1410352451669180424" TargetMode="External"/><Relationship Id="rId115" Type="http://schemas.openxmlformats.org/officeDocument/2006/relationships/hyperlink" Target="https://twitter.com/efitz_kiwi/status/1395086308633108481" TargetMode="External"/><Relationship Id="rId136" Type="http://schemas.openxmlformats.org/officeDocument/2006/relationships/hyperlink" Target="https://twitter.com/efitz_kiwi/status/1390002552356413443" TargetMode="External"/><Relationship Id="rId157" Type="http://schemas.openxmlformats.org/officeDocument/2006/relationships/hyperlink" Target="https://twitter.com/efitz_kiwi/status/1376247738996785167" TargetMode="External"/><Relationship Id="rId178" Type="http://schemas.openxmlformats.org/officeDocument/2006/relationships/hyperlink" Target="https://twitter.com/efitz_kiwi/status/1361500892575526914" TargetMode="External"/><Relationship Id="rId61" Type="http://schemas.openxmlformats.org/officeDocument/2006/relationships/hyperlink" Target="https://twitter.com/efitz_kiwi/status/1404617859263778817" TargetMode="External"/><Relationship Id="rId82" Type="http://schemas.openxmlformats.org/officeDocument/2006/relationships/hyperlink" Target="https://twitter.com/efitz_kiwi/status/1398334037316542466" TargetMode="External"/><Relationship Id="rId199" Type="http://schemas.openxmlformats.org/officeDocument/2006/relationships/hyperlink" Target="https://twitter.com/efitz_kiwi/status/1358632451732570115" TargetMode="External"/><Relationship Id="rId203" Type="http://schemas.openxmlformats.org/officeDocument/2006/relationships/hyperlink" Target="https://twitter.com/efitz_kiwi/status/1358632451732570115" TargetMode="External"/><Relationship Id="rId19" Type="http://schemas.openxmlformats.org/officeDocument/2006/relationships/hyperlink" Target="https://twitter.com/efitz_kiwi/status/1415722887386906628" TargetMode="External"/><Relationship Id="rId224" Type="http://schemas.openxmlformats.org/officeDocument/2006/relationships/hyperlink" Target="https://twitter.com/efitz_kiwi/status/1350535602962386944" TargetMode="External"/><Relationship Id="rId245" Type="http://schemas.openxmlformats.org/officeDocument/2006/relationships/hyperlink" Target="https://twitter.com/efitz_kiwi/status/1345877236432437250" TargetMode="External"/><Relationship Id="rId266" Type="http://schemas.openxmlformats.org/officeDocument/2006/relationships/hyperlink" Target="https://twitter.com/efitz_kiwi/status/1340775536621174790" TargetMode="External"/><Relationship Id="rId287" Type="http://schemas.openxmlformats.org/officeDocument/2006/relationships/hyperlink" Target="https://twitter.com/efitz_kiwi/status/1313174835485442051" TargetMode="External"/><Relationship Id="rId30" Type="http://schemas.openxmlformats.org/officeDocument/2006/relationships/hyperlink" Target="https://twitter.com/efitz_kiwi/status/1413135930916020224" TargetMode="External"/><Relationship Id="rId105" Type="http://schemas.openxmlformats.org/officeDocument/2006/relationships/hyperlink" Target="https://twitter.com/efitz_kiwi/status/1395568996582363138" TargetMode="External"/><Relationship Id="rId126" Type="http://schemas.openxmlformats.org/officeDocument/2006/relationships/hyperlink" Target="https://twitter.com/efitz_kiwi/status/1394354259878154240" TargetMode="External"/><Relationship Id="rId147" Type="http://schemas.openxmlformats.org/officeDocument/2006/relationships/hyperlink" Target="https://twitter.com/efitz_kiwi/status/1377670628778651650" TargetMode="External"/><Relationship Id="rId168" Type="http://schemas.openxmlformats.org/officeDocument/2006/relationships/hyperlink" Target="https://twitter.com/efitz_kiwi/status/1373988116365783040" TargetMode="External"/><Relationship Id="rId51" Type="http://schemas.openxmlformats.org/officeDocument/2006/relationships/hyperlink" Target="https://twitter.com/efitz_kiwi/status/1407089229876895748" TargetMode="External"/><Relationship Id="rId72" Type="http://schemas.openxmlformats.org/officeDocument/2006/relationships/hyperlink" Target="https://twitter.com/efitz_kiwi/status/1400868965568614407" TargetMode="External"/><Relationship Id="rId93" Type="http://schemas.openxmlformats.org/officeDocument/2006/relationships/hyperlink" Target="https://twitter.com/efitz_kiwi/status/1396867690049032192" TargetMode="External"/><Relationship Id="rId189" Type="http://schemas.openxmlformats.org/officeDocument/2006/relationships/hyperlink" Target="https://twitter.com/efitz_kiwi/status/1359347745899880448" TargetMode="External"/><Relationship Id="rId3" Type="http://schemas.openxmlformats.org/officeDocument/2006/relationships/hyperlink" Target="https://twitter.com/efitz_kiwi/status/1424749078274056195" TargetMode="External"/><Relationship Id="rId214" Type="http://schemas.openxmlformats.org/officeDocument/2006/relationships/hyperlink" Target="https://twitter.com/efitz_kiwi/status/1353441051168567301" TargetMode="External"/><Relationship Id="rId235" Type="http://schemas.openxmlformats.org/officeDocument/2006/relationships/hyperlink" Target="https://twitter.com/efitz_kiwi/status/1348366810698174466" TargetMode="External"/><Relationship Id="rId256" Type="http://schemas.openxmlformats.org/officeDocument/2006/relationships/hyperlink" Target="https://twitter.com/efitz_kiwi/status/1343570242149224452" TargetMode="External"/><Relationship Id="rId277" Type="http://schemas.openxmlformats.org/officeDocument/2006/relationships/hyperlink" Target="https://twitter.com/efitz_kiwi/status/1323659766674169856" TargetMode="External"/><Relationship Id="rId298" Type="http://schemas.openxmlformats.org/officeDocument/2006/relationships/hyperlink" Target="https://twitter.com/RadioSilentplay/status/1315667556133490697" TargetMode="External"/><Relationship Id="rId116" Type="http://schemas.openxmlformats.org/officeDocument/2006/relationships/hyperlink" Target="https://twitter.com/efitz_kiwi/status/1395103263138197508" TargetMode="External"/><Relationship Id="rId137" Type="http://schemas.openxmlformats.org/officeDocument/2006/relationships/hyperlink" Target="https://twitter.com/efitz_kiwi/status/1388166715796856837" TargetMode="External"/><Relationship Id="rId158" Type="http://schemas.openxmlformats.org/officeDocument/2006/relationships/hyperlink" Target="https://twitter.com/efitz_kiwi/status/1376247738996785167" TargetMode="External"/><Relationship Id="rId20" Type="http://schemas.openxmlformats.org/officeDocument/2006/relationships/hyperlink" Target="https://twitter.com/efitz_kiwi/status/1415680599227047936" TargetMode="External"/><Relationship Id="rId41" Type="http://schemas.openxmlformats.org/officeDocument/2006/relationships/hyperlink" Target="https://twitter.com/efitz_kiwi/status/1409950828341903364" TargetMode="External"/><Relationship Id="rId62" Type="http://schemas.openxmlformats.org/officeDocument/2006/relationships/hyperlink" Target="https://twitter.com/efitz_kiwi/status/1404614744347234307" TargetMode="External"/><Relationship Id="rId83" Type="http://schemas.openxmlformats.org/officeDocument/2006/relationships/hyperlink" Target="https://twitter.com/efitz_kiwi/status/1397565880305913858" TargetMode="External"/><Relationship Id="rId179" Type="http://schemas.openxmlformats.org/officeDocument/2006/relationships/hyperlink" Target="https://twitter.com/efitz_kiwi/status/1361500892575526914" TargetMode="External"/><Relationship Id="rId190" Type="http://schemas.openxmlformats.org/officeDocument/2006/relationships/hyperlink" Target="https://twitter.com/efitz_kiwi/status/1359347745899880448" TargetMode="External"/><Relationship Id="rId204" Type="http://schemas.openxmlformats.org/officeDocument/2006/relationships/hyperlink" Target="https://twitter.com/efitz_kiwi/status/1355206349299326980" TargetMode="External"/><Relationship Id="rId225" Type="http://schemas.openxmlformats.org/officeDocument/2006/relationships/hyperlink" Target="https://twitter.com/efitz_kiwi/status/1350535602962386944" TargetMode="External"/><Relationship Id="rId246" Type="http://schemas.openxmlformats.org/officeDocument/2006/relationships/hyperlink" Target="https://twitter.com/efitz_kiwi/status/1345877236432437250" TargetMode="External"/><Relationship Id="rId267" Type="http://schemas.openxmlformats.org/officeDocument/2006/relationships/hyperlink" Target="https://twitter.com/efitz_kiwi/status/1340775536621174790" TargetMode="External"/><Relationship Id="rId288" Type="http://schemas.openxmlformats.org/officeDocument/2006/relationships/hyperlink" Target="https://twitter.com/efitz_kiwi/status/1310958102406193152" TargetMode="External"/><Relationship Id="rId106" Type="http://schemas.openxmlformats.org/officeDocument/2006/relationships/hyperlink" Target="https://twitter.com/efitz_kiwi/status/1395571915520159745" TargetMode="External"/><Relationship Id="rId127" Type="http://schemas.openxmlformats.org/officeDocument/2006/relationships/hyperlink" Target="https://twitter.com/efitz_kiwi/status/1394127247947313156" TargetMode="External"/><Relationship Id="rId10" Type="http://schemas.openxmlformats.org/officeDocument/2006/relationships/hyperlink" Target="https://twitter.com/efitz_kiwi/status/1420780740606836743" TargetMode="External"/><Relationship Id="rId31" Type="http://schemas.openxmlformats.org/officeDocument/2006/relationships/hyperlink" Target="https://twitter.com/efitz_kiwi/status/1412831949387882501" TargetMode="External"/><Relationship Id="rId52" Type="http://schemas.openxmlformats.org/officeDocument/2006/relationships/hyperlink" Target="https://twitter.com/efitz_kiwi/status/1405918901154820097" TargetMode="External"/><Relationship Id="rId73" Type="http://schemas.openxmlformats.org/officeDocument/2006/relationships/hyperlink" Target="https://twitter.com/efitz_kiwi/status/1400901851319504899" TargetMode="External"/><Relationship Id="rId94" Type="http://schemas.openxmlformats.org/officeDocument/2006/relationships/hyperlink" Target="https://twitter.com/efitz_kiwi/status/1396869545118285827" TargetMode="External"/><Relationship Id="rId148" Type="http://schemas.openxmlformats.org/officeDocument/2006/relationships/hyperlink" Target="https://twitter.com/efitz_kiwi/status/1376247738996785167" TargetMode="External"/><Relationship Id="rId169" Type="http://schemas.openxmlformats.org/officeDocument/2006/relationships/hyperlink" Target="https://twitter.com/efitz_kiwi/status/1373988116365783040" TargetMode="External"/><Relationship Id="rId4" Type="http://schemas.openxmlformats.org/officeDocument/2006/relationships/hyperlink" Target="https://twitter.com/efitz_kiwi/status/1424741939589656581" TargetMode="External"/><Relationship Id="rId180" Type="http://schemas.openxmlformats.org/officeDocument/2006/relationships/hyperlink" Target="https://twitter.com/efitz_kiwi/status/1361500892575526914" TargetMode="External"/><Relationship Id="rId215" Type="http://schemas.openxmlformats.org/officeDocument/2006/relationships/hyperlink" Target="https://twitter.com/efitz_kiwi/status/1353441051168567301" TargetMode="External"/><Relationship Id="rId236" Type="http://schemas.openxmlformats.org/officeDocument/2006/relationships/hyperlink" Target="https://twitter.com/efitz_kiwi/status/1348366810698174466" TargetMode="External"/><Relationship Id="rId257" Type="http://schemas.openxmlformats.org/officeDocument/2006/relationships/hyperlink" Target="https://twitter.com/efitz_kiwi/status/1343570242149224452" TargetMode="External"/><Relationship Id="rId278" Type="http://schemas.openxmlformats.org/officeDocument/2006/relationships/hyperlink" Target="https://twitter.com/efitz_kiwi/status/1321486488941531136" TargetMode="External"/><Relationship Id="rId42" Type="http://schemas.openxmlformats.org/officeDocument/2006/relationships/hyperlink" Target="https://twitter.com/efitz_kiwi/status/1409954562165907462" TargetMode="External"/><Relationship Id="rId84" Type="http://schemas.openxmlformats.org/officeDocument/2006/relationships/hyperlink" Target="https://twitter.com/efitz_kiwi/status/1397637086920982534" TargetMode="External"/><Relationship Id="rId138" Type="http://schemas.openxmlformats.org/officeDocument/2006/relationships/hyperlink" Target="https://twitter.com/efitz_kiwi/status/1387494628853698560" TargetMode="External"/><Relationship Id="rId191" Type="http://schemas.openxmlformats.org/officeDocument/2006/relationships/hyperlink" Target="https://twitter.com/efitz_kiwi/status/1359347745899880448" TargetMode="External"/><Relationship Id="rId205" Type="http://schemas.openxmlformats.org/officeDocument/2006/relationships/hyperlink" Target="https://twitter.com/efitz_kiwi/status/1354938550383468549" TargetMode="External"/><Relationship Id="rId247" Type="http://schemas.openxmlformats.org/officeDocument/2006/relationships/hyperlink" Target="https://twitter.com/efitz_kiwi/status/1345877236432437250" TargetMode="External"/><Relationship Id="rId107" Type="http://schemas.openxmlformats.org/officeDocument/2006/relationships/hyperlink" Target="https://twitter.com/efitz_kiwi/status/1395231403843915778" TargetMode="External"/><Relationship Id="rId289" Type="http://schemas.openxmlformats.org/officeDocument/2006/relationships/hyperlink" Target="https://twitter.com/efitz_kiwi/status/1294424305535787008" TargetMode="External"/><Relationship Id="rId11" Type="http://schemas.openxmlformats.org/officeDocument/2006/relationships/hyperlink" Target="https://twitter.com/efitz_kiwi/status/1420780236439003139" TargetMode="External"/><Relationship Id="rId53" Type="http://schemas.openxmlformats.org/officeDocument/2006/relationships/hyperlink" Target="https://twitter.com/efitz_kiwi/status/1405927087228264460" TargetMode="External"/><Relationship Id="rId149" Type="http://schemas.openxmlformats.org/officeDocument/2006/relationships/hyperlink" Target="https://twitter.com/efitz_kiwi/status/1376247738996785167" TargetMode="External"/><Relationship Id="rId95" Type="http://schemas.openxmlformats.org/officeDocument/2006/relationships/hyperlink" Target="https://twitter.com/efitz_kiwi/status/1396870108144939013" TargetMode="External"/><Relationship Id="rId160" Type="http://schemas.openxmlformats.org/officeDocument/2006/relationships/hyperlink" Target="https://twitter.com/efitz_kiwi/status/1375141258914586629" TargetMode="External"/><Relationship Id="rId216" Type="http://schemas.openxmlformats.org/officeDocument/2006/relationships/hyperlink" Target="https://twitter.com/efitz_kiwi/status/1353441051168567301" TargetMode="External"/><Relationship Id="rId258" Type="http://schemas.openxmlformats.org/officeDocument/2006/relationships/hyperlink" Target="https://twitter.com/efitz_kiwi/status/1343570242149224452" TargetMode="External"/><Relationship Id="rId22" Type="http://schemas.openxmlformats.org/officeDocument/2006/relationships/hyperlink" Target="https://twitter.com/efitz_kiwi/status/1415444460809474052" TargetMode="External"/><Relationship Id="rId64" Type="http://schemas.openxmlformats.org/officeDocument/2006/relationships/hyperlink" Target="https://twitter.com/efitz_kiwi/status/1404608789811236881" TargetMode="External"/><Relationship Id="rId118" Type="http://schemas.openxmlformats.org/officeDocument/2006/relationships/hyperlink" Target="https://twitter.com/efitz_kiwi/status/1394757767685152768" TargetMode="External"/><Relationship Id="rId171" Type="http://schemas.openxmlformats.org/officeDocument/2006/relationships/hyperlink" Target="https://twitter.com/efitz_kiwi/status/1371640822559604738" TargetMode="External"/><Relationship Id="rId227" Type="http://schemas.openxmlformats.org/officeDocument/2006/relationships/hyperlink" Target="https://twitter.com/efitz_kiwi/status/1350535602962386944" TargetMode="External"/><Relationship Id="rId269" Type="http://schemas.openxmlformats.org/officeDocument/2006/relationships/hyperlink" Target="https://twitter.com/efitz_kiwi/status/1340775536621174790" TargetMode="External"/><Relationship Id="rId33" Type="http://schemas.openxmlformats.org/officeDocument/2006/relationships/hyperlink" Target="https://twitter.com/efitz_kiwi/status/1412471211188174853" TargetMode="External"/><Relationship Id="rId129" Type="http://schemas.openxmlformats.org/officeDocument/2006/relationships/hyperlink" Target="https://twitter.com/efitz_kiwi/status/1392910242858643457" TargetMode="External"/><Relationship Id="rId280" Type="http://schemas.openxmlformats.org/officeDocument/2006/relationships/hyperlink" Target="https://twitter.com/efitz_kiwi/status/132089106815871795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efitz_kiwi/status/1422590099796156418" TargetMode="External"/><Relationship Id="rId18" Type="http://schemas.openxmlformats.org/officeDocument/2006/relationships/hyperlink" Target="https://twitter.com/efitz_kiwi/status/1420606299587424257" TargetMode="External"/><Relationship Id="rId26" Type="http://schemas.openxmlformats.org/officeDocument/2006/relationships/hyperlink" Target="https://twitter.com/efitz_kiwi/status/1417338740050169857" TargetMode="External"/><Relationship Id="rId39" Type="http://schemas.openxmlformats.org/officeDocument/2006/relationships/hyperlink" Target="https://twitter.com/efitz_kiwi/status/1411020770696908803" TargetMode="External"/><Relationship Id="rId21" Type="http://schemas.openxmlformats.org/officeDocument/2006/relationships/hyperlink" Target="https://twitter.com/efitz_kiwi/status/1418436640750583815" TargetMode="External"/><Relationship Id="rId34" Type="http://schemas.openxmlformats.org/officeDocument/2006/relationships/hyperlink" Target="https://twitter.com/efitz_kiwi/status/1412590237176508424" TargetMode="External"/><Relationship Id="rId42" Type="http://schemas.openxmlformats.org/officeDocument/2006/relationships/hyperlink" Target="https://twitter.com/efitz_kiwi/status/1411041436158550017" TargetMode="External"/><Relationship Id="rId47" Type="http://schemas.openxmlformats.org/officeDocument/2006/relationships/drawing" Target="../drawings/drawing2.xml"/><Relationship Id="rId7" Type="http://schemas.openxmlformats.org/officeDocument/2006/relationships/hyperlink" Target="https://twitter.com/efitz_kiwi/status/1428792189778382848" TargetMode="External"/><Relationship Id="rId2" Type="http://schemas.openxmlformats.org/officeDocument/2006/relationships/hyperlink" Target="https://twitter.com/efitz_kiwi/status/1430211465118617612" TargetMode="External"/><Relationship Id="rId16" Type="http://schemas.openxmlformats.org/officeDocument/2006/relationships/hyperlink" Target="https://twitter.com/efitz_kiwi/status/1420452605105516544" TargetMode="External"/><Relationship Id="rId29" Type="http://schemas.openxmlformats.org/officeDocument/2006/relationships/hyperlink" Target="https://twitter.com/efitz_kiwi/status/1415071672336531456" TargetMode="External"/><Relationship Id="rId1" Type="http://schemas.openxmlformats.org/officeDocument/2006/relationships/hyperlink" Target="https://twitter.com/efitz_kiwi/status/1430397014978797573" TargetMode="External"/><Relationship Id="rId6" Type="http://schemas.openxmlformats.org/officeDocument/2006/relationships/hyperlink" Target="https://twitter.com/efitz_kiwi/status/1429836871119540224" TargetMode="External"/><Relationship Id="rId11" Type="http://schemas.openxmlformats.org/officeDocument/2006/relationships/hyperlink" Target="https://twitter.com/efitz_kiwi/status/1428061757503901698" TargetMode="External"/><Relationship Id="rId24" Type="http://schemas.openxmlformats.org/officeDocument/2006/relationships/hyperlink" Target="https://twitter.com/efitz_kiwi/status/1417341994561679362" TargetMode="External"/><Relationship Id="rId32" Type="http://schemas.openxmlformats.org/officeDocument/2006/relationships/hyperlink" Target="https://twitter.com/efitz_kiwi/status/1412972407141326854" TargetMode="External"/><Relationship Id="rId37" Type="http://schemas.openxmlformats.org/officeDocument/2006/relationships/hyperlink" Target="https://twitter.com/efitz_kiwi/status/1411024700478836737" TargetMode="External"/><Relationship Id="rId40" Type="http://schemas.openxmlformats.org/officeDocument/2006/relationships/hyperlink" Target="https://twitter.com/efitz_kiwi/status/1410352117693489154" TargetMode="External"/><Relationship Id="rId45" Type="http://schemas.openxmlformats.org/officeDocument/2006/relationships/hyperlink" Target="https://twitter.com/efitz_kiwi/status/1409728226319077380" TargetMode="External"/><Relationship Id="rId5" Type="http://schemas.openxmlformats.org/officeDocument/2006/relationships/hyperlink" Target="https://twitter.com/efitz_kiwi/status/1429854431525412871" TargetMode="External"/><Relationship Id="rId15" Type="http://schemas.openxmlformats.org/officeDocument/2006/relationships/hyperlink" Target="https://twitter.com/efitz_kiwi/status/1421167000316006409" TargetMode="External"/><Relationship Id="rId23" Type="http://schemas.openxmlformats.org/officeDocument/2006/relationships/hyperlink" Target="https://twitter.com/efitz_kiwi/status/1417715625057832962" TargetMode="External"/><Relationship Id="rId28" Type="http://schemas.openxmlformats.org/officeDocument/2006/relationships/hyperlink" Target="https://twitter.com/efitz_kiwi/status/1416842127355564040" TargetMode="External"/><Relationship Id="rId36" Type="http://schemas.openxmlformats.org/officeDocument/2006/relationships/hyperlink" Target="https://twitter.com/efitz_kiwi/status/1412424623065534464" TargetMode="External"/><Relationship Id="rId10" Type="http://schemas.openxmlformats.org/officeDocument/2006/relationships/hyperlink" Target="https://twitter.com/efitz_kiwi/status/1428394190170427397" TargetMode="External"/><Relationship Id="rId19" Type="http://schemas.openxmlformats.org/officeDocument/2006/relationships/hyperlink" Target="https://twitter.com/efitz_kiwi/status/1420453270624088066" TargetMode="External"/><Relationship Id="rId31" Type="http://schemas.openxmlformats.org/officeDocument/2006/relationships/hyperlink" Target="https://twitter.com/efitz_kiwi/status/1414427206940508162" TargetMode="External"/><Relationship Id="rId44" Type="http://schemas.openxmlformats.org/officeDocument/2006/relationships/hyperlink" Target="https://twitter.com/efitz_kiwi/status/1409950828341903364" TargetMode="External"/><Relationship Id="rId4" Type="http://schemas.openxmlformats.org/officeDocument/2006/relationships/hyperlink" Target="https://twitter.com/efitz_kiwi/status/1429869411163332608" TargetMode="External"/><Relationship Id="rId9" Type="http://schemas.openxmlformats.org/officeDocument/2006/relationships/hyperlink" Target="https://twitter.com/efitz_kiwi/status/1428757619305484300" TargetMode="External"/><Relationship Id="rId14" Type="http://schemas.openxmlformats.org/officeDocument/2006/relationships/hyperlink" Target="https://twitter.com/efitz_kiwi/status/1422592055881125889" TargetMode="External"/><Relationship Id="rId22" Type="http://schemas.openxmlformats.org/officeDocument/2006/relationships/hyperlink" Target="https://twitter.com/efitz_kiwi/status/1417706139911921671" TargetMode="External"/><Relationship Id="rId27" Type="http://schemas.openxmlformats.org/officeDocument/2006/relationships/hyperlink" Target="https://twitter.com/efitz_kiwi/status/1417340599758372864" TargetMode="External"/><Relationship Id="rId30" Type="http://schemas.openxmlformats.org/officeDocument/2006/relationships/hyperlink" Target="https://twitter.com/efitz_kiwi/status/1415067289016225793" TargetMode="External"/><Relationship Id="rId35" Type="http://schemas.openxmlformats.org/officeDocument/2006/relationships/hyperlink" Target="https://twitter.com/efitz_kiwi/status/1412471211188174853" TargetMode="External"/><Relationship Id="rId43" Type="http://schemas.openxmlformats.org/officeDocument/2006/relationships/hyperlink" Target="https://twitter.com/efitz_kiwi/status/1409718914158940162" TargetMode="External"/><Relationship Id="rId48" Type="http://schemas.openxmlformats.org/officeDocument/2006/relationships/table" Target="../tables/table2.xml"/><Relationship Id="rId8" Type="http://schemas.openxmlformats.org/officeDocument/2006/relationships/hyperlink" Target="https://twitter.com/efitz_kiwi/status/1428767015871918084" TargetMode="External"/><Relationship Id="rId3" Type="http://schemas.openxmlformats.org/officeDocument/2006/relationships/hyperlink" Target="https://twitter.com/efitz_kiwi/status/1430033495246745602" TargetMode="External"/><Relationship Id="rId12" Type="http://schemas.openxmlformats.org/officeDocument/2006/relationships/hyperlink" Target="https://twitter.com/efitz_kiwi/status/1427998843648499719" TargetMode="External"/><Relationship Id="rId17" Type="http://schemas.openxmlformats.org/officeDocument/2006/relationships/hyperlink" Target="https://twitter.com/efitz_kiwi/status/1420614071934652419" TargetMode="External"/><Relationship Id="rId25" Type="http://schemas.openxmlformats.org/officeDocument/2006/relationships/hyperlink" Target="https://twitter.com/efitz_kiwi/status/1417339014944894976" TargetMode="External"/><Relationship Id="rId33" Type="http://schemas.openxmlformats.org/officeDocument/2006/relationships/hyperlink" Target="https://twitter.com/efitz_kiwi/status/1412471677410283526" TargetMode="External"/><Relationship Id="rId38" Type="http://schemas.openxmlformats.org/officeDocument/2006/relationships/hyperlink" Target="https://twitter.com/efitz_kiwi/status/1420603768538869770" TargetMode="External"/><Relationship Id="rId46" Type="http://schemas.openxmlformats.org/officeDocument/2006/relationships/hyperlink" Target="https://twitter.com/efitz_kiwi/status/1409729225138098178" TargetMode="External"/><Relationship Id="rId20" Type="http://schemas.openxmlformats.org/officeDocument/2006/relationships/hyperlink" Target="https://twitter.com/efitz_kiwi/status/1419866277011722242" TargetMode="External"/><Relationship Id="rId41" Type="http://schemas.openxmlformats.org/officeDocument/2006/relationships/hyperlink" Target="https://twitter.com/efitz_kiwi/status/141035245166918042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screener.ashx?v=211&amp;f=cap_smallover,sh_price_o10,sh_relvol_o1,ta_rsi_nob50,ta_volatility_wo3&amp;ft=4" TargetMode="External"/><Relationship Id="rId3" Type="http://schemas.openxmlformats.org/officeDocument/2006/relationships/hyperlink" Target="https://finviz.com/screener.ashx?v=211&amp;f=ipodate_prevyear,sh_avgvol_o1000,sh_float_u50,sh_price_u10" TargetMode="External"/><Relationship Id="rId7" Type="http://schemas.openxmlformats.org/officeDocument/2006/relationships/hyperlink" Target="https://stockanalysis.com/ipos/calendar/" TargetMode="External"/><Relationship Id="rId2" Type="http://schemas.openxmlformats.org/officeDocument/2006/relationships/hyperlink" Target="https://console.aws.amazon.com/console/home?region=us-east-1" TargetMode="External"/><Relationship Id="rId1" Type="http://schemas.openxmlformats.org/officeDocument/2006/relationships/hyperlink" Target="https://www.shortvolume.com/" TargetMode="External"/><Relationship Id="rId6" Type="http://schemas.openxmlformats.org/officeDocument/2006/relationships/hyperlink" Target="https://www.marketwatch.com/economy-politics/calendar" TargetMode="External"/><Relationship Id="rId5" Type="http://schemas.openxmlformats.org/officeDocument/2006/relationships/hyperlink" Target="https://www.optionsprofitcalculator.com/calculator/long-call.html" TargetMode="External"/><Relationship Id="rId4" Type="http://schemas.openxmlformats.org/officeDocument/2006/relationships/hyperlink" Target="https://finviz.com/futures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18"/>
  <sheetViews>
    <sheetView zoomScale="85" zoomScaleNormal="85" workbookViewId="0">
      <selection activeCell="C228" sqref="C228"/>
    </sheetView>
  </sheetViews>
  <sheetFormatPr defaultRowHeight="15" x14ac:dyDescent="0.25"/>
  <cols>
    <col min="1" max="1" width="22.5703125" style="338" customWidth="1"/>
    <col min="2" max="3" width="13.5703125" style="338" customWidth="1"/>
    <col min="4" max="4" width="9.85546875" style="338" customWidth="1"/>
    <col min="5" max="5" width="34.28515625" style="338" customWidth="1"/>
    <col min="6" max="6" width="13" style="339" customWidth="1"/>
    <col min="7" max="7" width="13.7109375" style="37" customWidth="1"/>
    <col min="8" max="8" width="36.42578125" style="41" customWidth="1"/>
    <col min="9" max="9" width="45.42578125" style="42" customWidth="1"/>
    <col min="10" max="10" width="24.5703125" style="43" customWidth="1"/>
    <col min="11" max="11" width="23.42578125" style="43" customWidth="1"/>
    <col min="12" max="12" width="38" style="44" customWidth="1"/>
    <col min="13" max="13" width="25" style="43" customWidth="1"/>
    <col min="14" max="14" width="19" style="43" customWidth="1"/>
    <col min="15" max="15" width="24.28515625" style="293" customWidth="1"/>
    <col min="16" max="16" width="22.85546875" style="293" customWidth="1"/>
    <col min="17" max="17" width="10.85546875" style="293" customWidth="1"/>
    <col min="18" max="18" width="35.5703125" style="43" customWidth="1"/>
    <col min="19" max="19" width="11.42578125" style="43" customWidth="1"/>
    <col min="20" max="20" width="12.7109375" style="43" customWidth="1"/>
    <col min="21" max="23" width="13" style="43" customWidth="1"/>
    <col min="24" max="24" width="10.5703125" style="43" customWidth="1"/>
    <col min="25" max="25" width="11.42578125" style="43" customWidth="1"/>
    <col min="26" max="26" width="10.85546875" style="43" customWidth="1"/>
    <col min="27" max="27" width="9.5703125" style="43" customWidth="1"/>
    <col min="28" max="28" width="10.5703125" style="43" customWidth="1"/>
    <col min="29" max="29" width="9.28515625" style="43" customWidth="1"/>
    <col min="30" max="31" width="9.140625" style="43" customWidth="1"/>
    <col min="32" max="32" width="17.42578125" style="43" customWidth="1"/>
    <col min="33" max="33" width="17.140625" style="43" customWidth="1"/>
    <col min="34" max="34" width="16.140625" style="43" customWidth="1"/>
    <col min="35" max="35" width="17.42578125" style="43" customWidth="1"/>
    <col min="36" max="36" width="16.140625" style="43" customWidth="1"/>
    <col min="37" max="37" width="15.85546875" style="43" customWidth="1"/>
    <col min="38" max="38" width="15" style="43" customWidth="1"/>
    <col min="39" max="39" width="24.42578125" style="43" customWidth="1"/>
    <col min="40" max="40" width="23.42578125" style="43" customWidth="1"/>
    <col min="41" max="41" width="24.5703125" style="43" customWidth="1"/>
    <col min="42" max="42" width="23.42578125" style="43" customWidth="1"/>
    <col min="43" max="43" width="23.140625" style="43" customWidth="1"/>
    <col min="44" max="44" width="22" style="43" customWidth="1"/>
    <col min="45" max="45" width="23.140625" style="43" customWidth="1"/>
    <col min="46" max="46" width="24.42578125" style="43" customWidth="1"/>
    <col min="47" max="47" width="23.140625" style="43" customWidth="1"/>
    <col min="48" max="48" width="22.85546875" style="43" customWidth="1"/>
    <col min="49" max="49" width="21.85546875" style="43" customWidth="1"/>
    <col min="50" max="51" width="23.42578125" style="43" customWidth="1"/>
    <col min="52" max="52" width="23.140625" style="43" customWidth="1"/>
    <col min="53" max="54" width="22" style="43" customWidth="1"/>
    <col min="55" max="55" width="21.85546875" style="43" customWidth="1"/>
    <col min="56" max="56" width="20.7109375" style="43" customWidth="1"/>
    <col min="57" max="57" width="21.85546875" style="43" customWidth="1"/>
    <col min="58" max="58" width="20.7109375" style="43" customWidth="1"/>
    <col min="59" max="59" width="20.5703125" style="43" customWidth="1"/>
    <col min="60" max="60" width="12.7109375" style="43" customWidth="1"/>
    <col min="61" max="95" width="17.5703125" style="43" customWidth="1"/>
  </cols>
  <sheetData>
    <row r="1" spans="1:114" ht="28.5" customHeight="1" thickTop="1" thickBot="1" x14ac:dyDescent="0.3">
      <c r="A1" s="5"/>
      <c r="B1" s="373" t="s">
        <v>0</v>
      </c>
      <c r="C1" s="374" t="s">
        <v>1</v>
      </c>
      <c r="D1" s="355"/>
      <c r="E1" s="355"/>
      <c r="F1" s="355"/>
      <c r="G1" s="375"/>
      <c r="H1" s="38"/>
      <c r="I1" s="376" t="s">
        <v>2</v>
      </c>
      <c r="J1" s="371"/>
      <c r="K1" s="377" t="s">
        <v>3</v>
      </c>
      <c r="L1" s="371"/>
      <c r="M1" s="304" t="s">
        <v>4</v>
      </c>
      <c r="N1" s="305" t="s">
        <v>5</v>
      </c>
      <c r="O1" s="305" t="s">
        <v>6</v>
      </c>
      <c r="P1" s="305" t="s">
        <v>7</v>
      </c>
      <c r="Q1" s="336"/>
      <c r="R1" s="354" t="s">
        <v>8</v>
      </c>
      <c r="S1" s="355"/>
      <c r="T1" s="355"/>
      <c r="U1" s="356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114" ht="20.25" customHeight="1" thickBot="1" x14ac:dyDescent="0.3">
      <c r="A2" s="6" t="s">
        <v>9</v>
      </c>
      <c r="B2" s="369"/>
      <c r="C2" s="366" t="s">
        <v>10</v>
      </c>
      <c r="D2" s="367"/>
      <c r="E2" s="367"/>
      <c r="F2" s="368"/>
      <c r="G2" s="369"/>
      <c r="H2" s="39"/>
      <c r="I2" s="370">
        <f>COUNTIF(Table1[Gain/Loss if sold at top since call(%)], "&gt;10%")/COUNTA(Table1[Gain/Loss if sold at top since call(%)])</f>
        <v>0.86900958466453671</v>
      </c>
      <c r="J2" s="371"/>
      <c r="K2" s="372">
        <f>COUNTIF(Table1[Gain/Loss if sold at top since call(%)], "&gt;50%")/COUNTA(Table1[Gain/Loss if sold at top since call(%)])</f>
        <v>0.51118210862619806</v>
      </c>
      <c r="L2" s="371"/>
      <c r="M2" s="303">
        <f>MAX(Table1[Gain/Loss if sold at top since call(%)])</f>
        <v>1535.9230769230771</v>
      </c>
      <c r="N2" s="307">
        <f>MAX(Table1[Gain/Loss present(%)])</f>
        <v>875.92307692307702</v>
      </c>
      <c r="O2" s="337"/>
      <c r="Q2" s="336"/>
      <c r="R2" s="363">
        <f>SUM(K:K)/COUNTA(L:L)</f>
        <v>3.0923705332302367</v>
      </c>
      <c r="S2" s="364"/>
      <c r="T2" s="364"/>
      <c r="U2" s="36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114" ht="16.5" customHeight="1" thickTop="1" thickBot="1" x14ac:dyDescent="0.3">
      <c r="A3" s="7" t="s">
        <v>11</v>
      </c>
      <c r="B3" s="369"/>
      <c r="C3" s="378" t="s">
        <v>12</v>
      </c>
      <c r="D3" s="379"/>
      <c r="E3" s="379"/>
      <c r="F3" s="379"/>
      <c r="G3" s="380"/>
      <c r="H3" s="39"/>
      <c r="I3" s="376" t="s">
        <v>13</v>
      </c>
      <c r="J3" s="371"/>
      <c r="K3" s="377" t="s">
        <v>14</v>
      </c>
      <c r="L3" s="371"/>
      <c r="M3" s="4"/>
      <c r="N3" s="305" t="s">
        <v>15</v>
      </c>
      <c r="O3" s="305" t="s">
        <v>16</v>
      </c>
      <c r="P3" s="305" t="s">
        <v>17</v>
      </c>
      <c r="Q3" s="336"/>
      <c r="R3" s="354" t="s">
        <v>18</v>
      </c>
      <c r="S3" s="355"/>
      <c r="T3" s="355"/>
      <c r="U3" s="356"/>
      <c r="X3" t="s">
        <v>19</v>
      </c>
      <c r="Y3" t="s">
        <v>20</v>
      </c>
      <c r="Z3" s="4" t="s">
        <v>21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K3" t="s">
        <v>22</v>
      </c>
      <c r="BL3" t="s">
        <v>23</v>
      </c>
      <c r="CA3" t="s">
        <v>24</v>
      </c>
      <c r="CL3" t="s">
        <v>24</v>
      </c>
    </row>
    <row r="4" spans="1:114" ht="15.75" customHeight="1" thickBot="1" x14ac:dyDescent="0.3">
      <c r="A4" s="11"/>
      <c r="B4" s="369"/>
      <c r="C4" s="357" t="s">
        <v>25</v>
      </c>
      <c r="D4" s="358"/>
      <c r="E4" s="358"/>
      <c r="F4" s="358"/>
      <c r="G4" s="359"/>
      <c r="H4" s="40"/>
      <c r="I4" s="360">
        <f>COUNTIF(Table1[Gain/Loss if sold at top since call(%)], "&gt;5%")/COUNTA(Table1[Gain/Loss if sold at top since call(%)])</f>
        <v>0.92012779552715651</v>
      </c>
      <c r="J4" s="361"/>
      <c r="K4" s="362">
        <f>COUNTIF(Table1[Gain/Loss if sold at top since call(%)], "&gt;100%")/COUNTA(Table1[Gain/Loss if sold at top since call(%)])</f>
        <v>0.34824281150159747</v>
      </c>
      <c r="L4" s="361"/>
      <c r="M4" s="9"/>
      <c r="N4" s="306">
        <f>COUNTA(Table1[Gain/Loss if sold at top since call(%)])-1</f>
        <v>312</v>
      </c>
      <c r="O4" s="341"/>
      <c r="Q4" s="340"/>
      <c r="R4" s="363">
        <f>SUM(L:L)/COUNTA(L:L)</f>
        <v>8.2994444227063777</v>
      </c>
      <c r="S4" s="364"/>
      <c r="T4" s="364"/>
      <c r="U4" s="365"/>
      <c r="Z4" s="4"/>
      <c r="AA4" s="4"/>
      <c r="AB4" s="4"/>
      <c r="AC4" s="4"/>
      <c r="AD4" s="4"/>
      <c r="AE4" s="4"/>
    </row>
    <row r="5" spans="1:114" ht="16.5" customHeight="1" thickTop="1" thickBot="1" x14ac:dyDescent="0.3">
      <c r="A5" s="45" t="s">
        <v>26</v>
      </c>
      <c r="B5" s="45" t="s">
        <v>27</v>
      </c>
      <c r="C5" s="45" t="s">
        <v>28</v>
      </c>
      <c r="D5" s="45" t="s">
        <v>29</v>
      </c>
      <c r="E5" s="45" t="s">
        <v>30</v>
      </c>
      <c r="F5" s="46" t="s">
        <v>31</v>
      </c>
      <c r="G5" s="47" t="s">
        <v>32</v>
      </c>
      <c r="H5" s="48" t="s">
        <v>33</v>
      </c>
      <c r="I5" s="49" t="s">
        <v>34</v>
      </c>
      <c r="J5" s="50" t="s">
        <v>35</v>
      </c>
      <c r="K5" s="51" t="s">
        <v>36</v>
      </c>
      <c r="L5" s="52" t="s">
        <v>37</v>
      </c>
      <c r="M5" s="51" t="s">
        <v>38</v>
      </c>
      <c r="N5" s="51" t="s">
        <v>39</v>
      </c>
      <c r="O5" s="288" t="s">
        <v>40</v>
      </c>
      <c r="P5" s="288" t="s">
        <v>41</v>
      </c>
      <c r="Q5" s="288" t="s">
        <v>42</v>
      </c>
      <c r="R5" s="51" t="s">
        <v>43</v>
      </c>
      <c r="S5" s="51" t="s">
        <v>44</v>
      </c>
      <c r="T5" s="51" t="s">
        <v>45</v>
      </c>
      <c r="U5" s="2" t="s">
        <v>46</v>
      </c>
      <c r="V5" s="2" t="s">
        <v>47</v>
      </c>
      <c r="W5" s="2" t="s">
        <v>48</v>
      </c>
      <c r="X5" s="2" t="s">
        <v>49</v>
      </c>
      <c r="Y5" t="s">
        <v>50</v>
      </c>
      <c r="Z5" t="s">
        <v>51</v>
      </c>
      <c r="AA5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2" t="s">
        <v>58</v>
      </c>
      <c r="AH5" s="2" t="s">
        <v>59</v>
      </c>
      <c r="AI5" s="2" t="s">
        <v>60</v>
      </c>
      <c r="AJ5" s="2" t="s">
        <v>61</v>
      </c>
      <c r="AK5" s="2" t="s">
        <v>62</v>
      </c>
      <c r="AL5" s="2" t="s">
        <v>63</v>
      </c>
      <c r="AM5" s="2" t="s">
        <v>64</v>
      </c>
      <c r="AN5" s="2" t="s">
        <v>65</v>
      </c>
      <c r="AO5" s="2" t="s">
        <v>66</v>
      </c>
      <c r="AP5" s="2" t="s">
        <v>67</v>
      </c>
      <c r="AQ5" s="2" t="s">
        <v>68</v>
      </c>
      <c r="AR5" s="2" t="s">
        <v>69</v>
      </c>
      <c r="AS5" s="2" t="s">
        <v>70</v>
      </c>
      <c r="AT5" s="2" t="s">
        <v>71</v>
      </c>
      <c r="AU5" s="2" t="s">
        <v>72</v>
      </c>
      <c r="AV5" s="2" t="s">
        <v>73</v>
      </c>
      <c r="AW5" s="2" t="s">
        <v>74</v>
      </c>
      <c r="AX5" s="2" t="s">
        <v>75</v>
      </c>
      <c r="AY5" s="2" t="s">
        <v>76</v>
      </c>
      <c r="AZ5" s="2" t="s">
        <v>77</v>
      </c>
      <c r="BA5" s="2" t="s">
        <v>78</v>
      </c>
      <c r="BB5" s="2" t="s">
        <v>79</v>
      </c>
      <c r="BC5" s="2" t="s">
        <v>80</v>
      </c>
      <c r="BD5" s="2" t="s">
        <v>81</v>
      </c>
      <c r="BE5" s="2" t="s">
        <v>82</v>
      </c>
      <c r="BF5" s="2" t="s">
        <v>83</v>
      </c>
      <c r="BG5" s="2" t="s">
        <v>84</v>
      </c>
      <c r="BH5" s="2" t="s">
        <v>85</v>
      </c>
      <c r="BI5" s="2" t="s">
        <v>86</v>
      </c>
      <c r="BJ5" s="2" t="s">
        <v>87</v>
      </c>
      <c r="BK5" s="2" t="s">
        <v>88</v>
      </c>
      <c r="BL5" s="2" t="s">
        <v>89</v>
      </c>
      <c r="BM5" s="2" t="s">
        <v>90</v>
      </c>
      <c r="BN5" s="2" t="s">
        <v>91</v>
      </c>
      <c r="BO5" s="2" t="s">
        <v>92</v>
      </c>
      <c r="BP5" s="2" t="s">
        <v>93</v>
      </c>
      <c r="BQ5" s="2" t="s">
        <v>94</v>
      </c>
      <c r="BR5" s="2" t="s">
        <v>95</v>
      </c>
      <c r="BS5" s="2" t="s">
        <v>96</v>
      </c>
      <c r="BT5" s="2" t="s">
        <v>97</v>
      </c>
      <c r="BU5" s="2" t="s">
        <v>98</v>
      </c>
      <c r="BV5" s="2" t="s">
        <v>99</v>
      </c>
      <c r="BW5" s="2" t="s">
        <v>100</v>
      </c>
      <c r="BX5" s="2" t="s">
        <v>101</v>
      </c>
      <c r="BY5" s="2" t="s">
        <v>102</v>
      </c>
      <c r="BZ5" s="2" t="s">
        <v>103</v>
      </c>
      <c r="CA5" s="2" t="s">
        <v>104</v>
      </c>
      <c r="CB5" s="2" t="s">
        <v>105</v>
      </c>
      <c r="CC5" s="2" t="s">
        <v>106</v>
      </c>
      <c r="CD5" s="2" t="s">
        <v>107</v>
      </c>
      <c r="CE5" s="2" t="s">
        <v>108</v>
      </c>
      <c r="CF5" s="2" t="s">
        <v>109</v>
      </c>
      <c r="CG5" s="2" t="s">
        <v>110</v>
      </c>
      <c r="CH5" s="2" t="s">
        <v>111</v>
      </c>
      <c r="CI5" s="2" t="s">
        <v>112</v>
      </c>
      <c r="CJ5" s="2" t="s">
        <v>113</v>
      </c>
      <c r="CK5" s="2" t="s">
        <v>114</v>
      </c>
      <c r="CL5" s="2" t="s">
        <v>115</v>
      </c>
      <c r="CM5" s="2" t="s">
        <v>116</v>
      </c>
      <c r="CN5" s="2" t="s">
        <v>117</v>
      </c>
      <c r="CO5" s="2" t="s">
        <v>118</v>
      </c>
      <c r="CP5" s="2" t="s">
        <v>119</v>
      </c>
      <c r="CQ5" s="2" t="s">
        <v>120</v>
      </c>
      <c r="CR5" s="2" t="s">
        <v>121</v>
      </c>
      <c r="CS5" s="2" t="s">
        <v>122</v>
      </c>
      <c r="CT5" s="2" t="s">
        <v>123</v>
      </c>
      <c r="CU5" s="2" t="s">
        <v>124</v>
      </c>
      <c r="CV5" s="2"/>
      <c r="CW5" s="2"/>
      <c r="CX5" s="2"/>
      <c r="DH5" s="2" t="s">
        <v>125</v>
      </c>
      <c r="DI5" s="2" t="s">
        <v>126</v>
      </c>
      <c r="DJ5" s="2" t="s">
        <v>127</v>
      </c>
    </row>
    <row r="6" spans="1:114" ht="15.75" customHeight="1" thickBot="1" x14ac:dyDescent="0.3">
      <c r="A6" s="62"/>
      <c r="B6" s="64" t="s">
        <v>128</v>
      </c>
      <c r="C6" s="335" t="s">
        <v>129</v>
      </c>
      <c r="D6" s="64" t="s">
        <v>130</v>
      </c>
      <c r="E6" s="64">
        <v>1</v>
      </c>
      <c r="F6" s="65">
        <v>2.1</v>
      </c>
      <c r="G6" s="310">
        <v>44417</v>
      </c>
      <c r="H6" s="345">
        <v>2.0099999999999998</v>
      </c>
      <c r="I6" s="345">
        <v>2.3199999999999998</v>
      </c>
      <c r="J6" s="348">
        <v>44419</v>
      </c>
      <c r="K6" s="66">
        <f t="shared" ref="K6:K69" si="0">IF(AND(F6&lt;&gt;"",H6&lt;&gt;""), (H6/F6)-100%, "")</f>
        <v>-4.2857142857143038E-2</v>
      </c>
      <c r="L6" s="66">
        <f t="shared" ref="L6:L69" si="1">IF(AND(F6&lt;&gt;"",I6&lt;&gt;""), (I6/F6)-100%, "")</f>
        <v>0.10476190476190461</v>
      </c>
      <c r="M6" s="348">
        <v>44435</v>
      </c>
      <c r="N6" s="64"/>
      <c r="O6" s="289">
        <v>21975778</v>
      </c>
      <c r="P6" s="289">
        <v>9210000</v>
      </c>
      <c r="Q6" s="289">
        <v>2</v>
      </c>
      <c r="R6" s="64" t="s">
        <v>131</v>
      </c>
      <c r="S6" s="64" t="s">
        <v>132</v>
      </c>
      <c r="T6" s="64" t="s">
        <v>133</v>
      </c>
      <c r="U6" s="67">
        <v>32</v>
      </c>
      <c r="V6" s="67">
        <v>240690</v>
      </c>
      <c r="W6" s="67"/>
      <c r="X6" s="67"/>
      <c r="Y6" s="68"/>
      <c r="Z6" s="68"/>
      <c r="AA6" s="68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8"/>
      <c r="BL6" s="68"/>
      <c r="BM6" s="68"/>
      <c r="BN6" s="68"/>
      <c r="BO6" s="68"/>
      <c r="BP6" s="68"/>
      <c r="BQ6" s="67"/>
      <c r="BR6" s="68"/>
      <c r="BS6" s="68"/>
      <c r="BT6" s="67"/>
      <c r="BU6" s="67"/>
      <c r="BV6" s="67"/>
      <c r="BW6" s="68"/>
      <c r="BX6" s="68"/>
      <c r="BY6" s="67"/>
      <c r="BZ6" s="67"/>
      <c r="CA6" s="67"/>
      <c r="CB6" s="67"/>
      <c r="CC6" s="67"/>
      <c r="CD6" s="67"/>
      <c r="CE6" s="67"/>
      <c r="CF6" s="67"/>
      <c r="CG6" s="67"/>
      <c r="CH6" s="68"/>
      <c r="CI6" s="67"/>
      <c r="CJ6" s="68"/>
      <c r="CK6" s="67"/>
      <c r="CL6" s="68"/>
      <c r="CM6" s="67"/>
      <c r="CN6" s="67"/>
      <c r="CO6" s="67"/>
      <c r="CP6" s="67"/>
      <c r="CQ6" s="69"/>
      <c r="CR6" s="70"/>
      <c r="CS6" s="67"/>
      <c r="CT6" s="67"/>
      <c r="CU6" s="67"/>
    </row>
    <row r="7" spans="1:114" ht="15.75" customHeight="1" thickBot="1" x14ac:dyDescent="0.3">
      <c r="A7" s="62"/>
      <c r="B7" s="64" t="s">
        <v>128</v>
      </c>
      <c r="C7" s="335" t="s">
        <v>129</v>
      </c>
      <c r="D7" s="64" t="s">
        <v>134</v>
      </c>
      <c r="E7" s="64">
        <v>1</v>
      </c>
      <c r="F7" s="65">
        <v>4.34</v>
      </c>
      <c r="G7" s="310">
        <v>44417</v>
      </c>
      <c r="H7" s="345">
        <v>4.04</v>
      </c>
      <c r="I7" s="345">
        <v>4.4400000000000004</v>
      </c>
      <c r="J7" s="348">
        <v>44435</v>
      </c>
      <c r="K7" s="66">
        <f t="shared" si="0"/>
        <v>-6.9124423963133563E-2</v>
      </c>
      <c r="L7" s="66">
        <f t="shared" si="1"/>
        <v>2.3041474654378113E-2</v>
      </c>
      <c r="M7" s="348">
        <v>44435</v>
      </c>
      <c r="N7" s="64"/>
      <c r="O7" s="289">
        <v>6690311</v>
      </c>
      <c r="P7" s="289">
        <v>3920000</v>
      </c>
      <c r="Q7" s="289">
        <v>18</v>
      </c>
      <c r="R7" s="64" t="s">
        <v>131</v>
      </c>
      <c r="S7" s="64" t="s">
        <v>135</v>
      </c>
      <c r="T7" s="64" t="s">
        <v>136</v>
      </c>
      <c r="U7" s="67">
        <v>172</v>
      </c>
      <c r="V7" s="67">
        <v>166089</v>
      </c>
      <c r="W7" s="67"/>
      <c r="X7" s="67"/>
      <c r="Y7" s="68"/>
      <c r="Z7" s="68"/>
      <c r="AA7" s="68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8"/>
      <c r="BL7" s="68"/>
      <c r="BM7" s="68"/>
      <c r="BN7" s="68"/>
      <c r="BO7" s="68"/>
      <c r="BP7" s="68"/>
      <c r="BQ7" s="67"/>
      <c r="BR7" s="68"/>
      <c r="BS7" s="68"/>
      <c r="BT7" s="67"/>
      <c r="BU7" s="67"/>
      <c r="BV7" s="67"/>
      <c r="BW7" s="68"/>
      <c r="BX7" s="68"/>
      <c r="BY7" s="67"/>
      <c r="BZ7" s="67"/>
      <c r="CA7" s="67"/>
      <c r="CB7" s="67"/>
      <c r="CC7" s="67"/>
      <c r="CD7" s="67"/>
      <c r="CE7" s="67"/>
      <c r="CF7" s="67"/>
      <c r="CG7" s="67"/>
      <c r="CH7" s="68"/>
      <c r="CI7" s="67"/>
      <c r="CJ7" s="68"/>
      <c r="CK7" s="67"/>
      <c r="CL7" s="68"/>
      <c r="CM7" s="67"/>
      <c r="CN7" s="67"/>
      <c r="CO7" s="67"/>
      <c r="CP7" s="67"/>
      <c r="CQ7" s="69"/>
      <c r="CR7" s="70"/>
      <c r="CS7" s="67"/>
      <c r="CT7" s="67"/>
      <c r="CU7" s="67"/>
    </row>
    <row r="8" spans="1:114" ht="15.75" customHeight="1" thickBot="1" x14ac:dyDescent="0.3">
      <c r="A8" s="62"/>
      <c r="B8" s="64" t="s">
        <v>128</v>
      </c>
      <c r="C8" s="335" t="s">
        <v>137</v>
      </c>
      <c r="D8" s="64" t="s">
        <v>138</v>
      </c>
      <c r="E8" s="64">
        <v>1</v>
      </c>
      <c r="F8" s="65">
        <v>3.04</v>
      </c>
      <c r="G8" s="310">
        <v>44417</v>
      </c>
      <c r="H8" s="345">
        <v>2.37</v>
      </c>
      <c r="I8" s="345">
        <v>3.19</v>
      </c>
      <c r="J8" s="348">
        <v>44418</v>
      </c>
      <c r="K8" s="66">
        <f t="shared" si="0"/>
        <v>-0.2203947368421052</v>
      </c>
      <c r="L8" s="66">
        <f t="shared" si="1"/>
        <v>4.9342105263157965E-2</v>
      </c>
      <c r="M8" s="348">
        <v>44435</v>
      </c>
      <c r="N8" s="64"/>
      <c r="O8" s="289">
        <v>14983761</v>
      </c>
      <c r="P8" s="289">
        <v>12030000</v>
      </c>
      <c r="Q8" s="289">
        <v>1</v>
      </c>
      <c r="R8" s="64" t="s">
        <v>139</v>
      </c>
      <c r="S8" s="64"/>
      <c r="T8" s="64" t="s">
        <v>140</v>
      </c>
      <c r="U8" s="67">
        <v>232</v>
      </c>
      <c r="V8" s="67">
        <v>355685</v>
      </c>
      <c r="W8" s="67"/>
      <c r="X8" s="67"/>
      <c r="Y8" s="68"/>
      <c r="Z8" s="68"/>
      <c r="AA8" s="68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8"/>
      <c r="BL8" s="68"/>
      <c r="BM8" s="68"/>
      <c r="BN8" s="68"/>
      <c r="BO8" s="68"/>
      <c r="BP8" s="68"/>
      <c r="BQ8" s="67"/>
      <c r="BR8" s="68"/>
      <c r="BS8" s="68"/>
      <c r="BT8" s="67"/>
      <c r="BU8" s="67"/>
      <c r="BV8" s="67"/>
      <c r="BW8" s="68"/>
      <c r="BX8" s="68"/>
      <c r="BY8" s="67"/>
      <c r="BZ8" s="67"/>
      <c r="CA8" s="67"/>
      <c r="CB8" s="67"/>
      <c r="CC8" s="67"/>
      <c r="CD8" s="67"/>
      <c r="CE8" s="67"/>
      <c r="CF8" s="67"/>
      <c r="CG8" s="67"/>
      <c r="CH8" s="68"/>
      <c r="CI8" s="67"/>
      <c r="CJ8" s="68"/>
      <c r="CK8" s="67"/>
      <c r="CL8" s="68"/>
      <c r="CM8" s="67"/>
      <c r="CN8" s="67"/>
      <c r="CO8" s="67"/>
      <c r="CP8" s="67"/>
      <c r="CQ8" s="69"/>
      <c r="CR8" s="70"/>
      <c r="CS8" s="67"/>
      <c r="CT8" s="67"/>
      <c r="CU8" s="67"/>
    </row>
    <row r="9" spans="1:114" ht="15.75" customHeight="1" thickBot="1" x14ac:dyDescent="0.3">
      <c r="A9" s="62"/>
      <c r="B9" s="64" t="s">
        <v>128</v>
      </c>
      <c r="C9" s="335" t="s">
        <v>141</v>
      </c>
      <c r="D9" s="64" t="s">
        <v>142</v>
      </c>
      <c r="E9" s="64">
        <v>1</v>
      </c>
      <c r="F9" s="65">
        <v>0.91</v>
      </c>
      <c r="G9" s="310">
        <v>44417</v>
      </c>
      <c r="H9" s="345">
        <v>0.9516</v>
      </c>
      <c r="I9" s="345">
        <v>1.59</v>
      </c>
      <c r="J9" s="348">
        <v>44428</v>
      </c>
      <c r="K9" s="66">
        <f t="shared" si="0"/>
        <v>4.5714285714285596E-2</v>
      </c>
      <c r="L9" s="66">
        <f t="shared" si="1"/>
        <v>0.74725274725274726</v>
      </c>
      <c r="M9" s="348">
        <v>44435</v>
      </c>
      <c r="N9" s="64"/>
      <c r="O9" s="289">
        <v>67671997</v>
      </c>
      <c r="P9" s="289">
        <v>29650000</v>
      </c>
      <c r="Q9" s="289">
        <v>11</v>
      </c>
      <c r="R9" s="64" t="s">
        <v>143</v>
      </c>
      <c r="S9" s="64" t="s">
        <v>135</v>
      </c>
      <c r="T9" s="64" t="s">
        <v>144</v>
      </c>
      <c r="U9" s="67">
        <v>536</v>
      </c>
      <c r="V9" s="67">
        <v>2242223</v>
      </c>
      <c r="W9" s="67"/>
      <c r="X9" s="67"/>
      <c r="Y9" s="68"/>
      <c r="Z9" s="68"/>
      <c r="AA9" s="68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8"/>
      <c r="BL9" s="68"/>
      <c r="BM9" s="68"/>
      <c r="BN9" s="68"/>
      <c r="BO9" s="68"/>
      <c r="BP9" s="68"/>
      <c r="BQ9" s="67"/>
      <c r="BR9" s="68"/>
      <c r="BS9" s="68"/>
      <c r="BT9" s="67"/>
      <c r="BU9" s="67"/>
      <c r="BV9" s="67"/>
      <c r="BW9" s="68"/>
      <c r="BX9" s="68"/>
      <c r="BY9" s="67"/>
      <c r="BZ9" s="67"/>
      <c r="CA9" s="67"/>
      <c r="CB9" s="67"/>
      <c r="CC9" s="67"/>
      <c r="CD9" s="67"/>
      <c r="CE9" s="67"/>
      <c r="CF9" s="67"/>
      <c r="CG9" s="67"/>
      <c r="CH9" s="68"/>
      <c r="CI9" s="67"/>
      <c r="CJ9" s="68"/>
      <c r="CK9" s="67"/>
      <c r="CL9" s="68"/>
      <c r="CM9" s="67"/>
      <c r="CN9" s="67"/>
      <c r="CO9" s="67"/>
      <c r="CP9" s="67"/>
      <c r="CQ9" s="69"/>
      <c r="CR9" s="70"/>
      <c r="CS9" s="67"/>
      <c r="CT9" s="67"/>
      <c r="CU9" s="67"/>
    </row>
    <row r="10" spans="1:114" ht="15.75" customHeight="1" thickBot="1" x14ac:dyDescent="0.3">
      <c r="A10" s="62"/>
      <c r="B10" s="64" t="s">
        <v>128</v>
      </c>
      <c r="C10" s="335" t="s">
        <v>145</v>
      </c>
      <c r="D10" s="64" t="s">
        <v>146</v>
      </c>
      <c r="E10" s="64">
        <v>1</v>
      </c>
      <c r="F10" s="65">
        <v>3.6</v>
      </c>
      <c r="G10" s="310">
        <v>44417</v>
      </c>
      <c r="H10" s="345">
        <v>3.24</v>
      </c>
      <c r="I10" s="345">
        <v>3.7084000000000001</v>
      </c>
      <c r="J10" s="348">
        <v>44418</v>
      </c>
      <c r="K10" s="66">
        <f t="shared" si="0"/>
        <v>-9.9999999999999978E-2</v>
      </c>
      <c r="L10" s="66">
        <f t="shared" si="1"/>
        <v>3.01111111111112E-2</v>
      </c>
      <c r="M10" s="348">
        <v>44435</v>
      </c>
      <c r="N10" s="64"/>
      <c r="O10" s="289">
        <v>64503642</v>
      </c>
      <c r="P10" s="289">
        <v>55380000</v>
      </c>
      <c r="Q10" s="289">
        <v>1</v>
      </c>
      <c r="R10" s="64" t="s">
        <v>147</v>
      </c>
      <c r="S10" s="64" t="s">
        <v>148</v>
      </c>
      <c r="T10" s="64" t="s">
        <v>149</v>
      </c>
      <c r="U10" s="67">
        <v>152</v>
      </c>
      <c r="V10" s="67">
        <v>662391</v>
      </c>
      <c r="W10" s="67"/>
      <c r="X10" s="67"/>
      <c r="Y10" s="68"/>
      <c r="Z10" s="68"/>
      <c r="AA10" s="68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8"/>
      <c r="BL10" s="68"/>
      <c r="BM10" s="68"/>
      <c r="BN10" s="68"/>
      <c r="BO10" s="68"/>
      <c r="BP10" s="68"/>
      <c r="BQ10" s="67"/>
      <c r="BR10" s="68"/>
      <c r="BS10" s="68"/>
      <c r="BT10" s="67"/>
      <c r="BU10" s="67"/>
      <c r="BV10" s="67"/>
      <c r="BW10" s="68"/>
      <c r="BX10" s="68"/>
      <c r="BY10" s="67"/>
      <c r="BZ10" s="67"/>
      <c r="CA10" s="67"/>
      <c r="CB10" s="67"/>
      <c r="CC10" s="67"/>
      <c r="CD10" s="67"/>
      <c r="CE10" s="67"/>
      <c r="CF10" s="67"/>
      <c r="CG10" s="67"/>
      <c r="CH10" s="68"/>
      <c r="CI10" s="67"/>
      <c r="CJ10" s="68"/>
      <c r="CK10" s="67"/>
      <c r="CL10" s="68"/>
      <c r="CM10" s="67"/>
      <c r="CN10" s="67"/>
      <c r="CO10" s="67"/>
      <c r="CP10" s="67"/>
      <c r="CQ10" s="69"/>
      <c r="CR10" s="70"/>
      <c r="CS10" s="67"/>
      <c r="CT10" s="67"/>
      <c r="CU10" s="67"/>
    </row>
    <row r="11" spans="1:114" ht="15.75" customHeight="1" thickBot="1" x14ac:dyDescent="0.3">
      <c r="A11" s="62"/>
      <c r="B11" s="64" t="s">
        <v>128</v>
      </c>
      <c r="C11" s="335" t="s">
        <v>150</v>
      </c>
      <c r="D11" s="64" t="s">
        <v>151</v>
      </c>
      <c r="E11" s="64">
        <v>1</v>
      </c>
      <c r="F11" s="65">
        <v>4</v>
      </c>
      <c r="G11" s="310">
        <v>44413</v>
      </c>
      <c r="H11" s="345">
        <v>3.35</v>
      </c>
      <c r="I11" s="345">
        <v>4.3499999999999996</v>
      </c>
      <c r="J11" s="348">
        <v>44418</v>
      </c>
      <c r="K11" s="66">
        <f t="shared" si="0"/>
        <v>-0.16249999999999998</v>
      </c>
      <c r="L11" s="66">
        <f t="shared" si="1"/>
        <v>8.7499999999999911E-2</v>
      </c>
      <c r="M11" s="348">
        <v>44435</v>
      </c>
      <c r="N11" s="64"/>
      <c r="O11" s="289">
        <v>11340476</v>
      </c>
      <c r="P11" s="289">
        <v>4260000</v>
      </c>
      <c r="Q11" s="289">
        <v>5</v>
      </c>
      <c r="R11" s="64" t="s">
        <v>152</v>
      </c>
      <c r="S11" s="64" t="s">
        <v>153</v>
      </c>
      <c r="T11" s="64" t="s">
        <v>154</v>
      </c>
      <c r="U11" s="67">
        <v>36</v>
      </c>
      <c r="V11" s="67">
        <v>328756</v>
      </c>
      <c r="W11" s="67"/>
      <c r="X11" s="67"/>
      <c r="Y11" s="68"/>
      <c r="Z11" s="68"/>
      <c r="AA11" s="68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8"/>
      <c r="BL11" s="68"/>
      <c r="BM11" s="68"/>
      <c r="BN11" s="68"/>
      <c r="BO11" s="68"/>
      <c r="BP11" s="68"/>
      <c r="BQ11" s="67"/>
      <c r="BR11" s="68"/>
      <c r="BS11" s="68"/>
      <c r="BT11" s="67"/>
      <c r="BU11" s="67"/>
      <c r="BV11" s="67"/>
      <c r="BW11" s="68"/>
      <c r="BX11" s="68"/>
      <c r="BY11" s="67"/>
      <c r="BZ11" s="67"/>
      <c r="CA11" s="67"/>
      <c r="CB11" s="67"/>
      <c r="CC11" s="67"/>
      <c r="CD11" s="67"/>
      <c r="CE11" s="67"/>
      <c r="CF11" s="67"/>
      <c r="CG11" s="67"/>
      <c r="CH11" s="68"/>
      <c r="CI11" s="67"/>
      <c r="CJ11" s="68"/>
      <c r="CK11" s="67"/>
      <c r="CL11" s="68"/>
      <c r="CM11" s="67"/>
      <c r="CN11" s="67"/>
      <c r="CO11" s="67"/>
      <c r="CP11" s="67"/>
      <c r="CQ11" s="69"/>
      <c r="CR11" s="70"/>
      <c r="CS11" s="67"/>
      <c r="CT11" s="67"/>
      <c r="CU11" s="67"/>
    </row>
    <row r="12" spans="1:114" ht="15.75" customHeight="1" thickBot="1" x14ac:dyDescent="0.3">
      <c r="A12" s="62"/>
      <c r="B12" s="64" t="s">
        <v>128</v>
      </c>
      <c r="C12" s="335" t="s">
        <v>155</v>
      </c>
      <c r="D12" s="64" t="s">
        <v>156</v>
      </c>
      <c r="E12" s="64">
        <v>2</v>
      </c>
      <c r="F12" s="65">
        <v>0.82</v>
      </c>
      <c r="G12" s="310">
        <v>44413</v>
      </c>
      <c r="H12" s="345">
        <v>0.5504</v>
      </c>
      <c r="I12" s="345">
        <v>0.87229999999999996</v>
      </c>
      <c r="J12" s="348">
        <v>44414</v>
      </c>
      <c r="K12" s="66">
        <f t="shared" si="0"/>
        <v>-0.32878048780487801</v>
      </c>
      <c r="L12" s="66">
        <f t="shared" si="1"/>
        <v>6.3780487804877994E-2</v>
      </c>
      <c r="M12" s="348">
        <v>44435</v>
      </c>
      <c r="N12" s="64"/>
      <c r="O12" s="289">
        <v>51362500</v>
      </c>
      <c r="P12" s="289">
        <v>9510000</v>
      </c>
      <c r="Q12" s="289">
        <v>1</v>
      </c>
      <c r="R12" s="64" t="s">
        <v>131</v>
      </c>
      <c r="S12" s="64" t="s">
        <v>157</v>
      </c>
      <c r="T12" s="64" t="s">
        <v>158</v>
      </c>
      <c r="U12" s="67">
        <v>92</v>
      </c>
      <c r="V12" s="67">
        <v>2447617</v>
      </c>
      <c r="W12" s="67"/>
      <c r="X12" s="67"/>
      <c r="Y12" s="68"/>
      <c r="Z12" s="68"/>
      <c r="AA12" s="68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8"/>
      <c r="BL12" s="68"/>
      <c r="BM12" s="68"/>
      <c r="BN12" s="68"/>
      <c r="BO12" s="68"/>
      <c r="BP12" s="68"/>
      <c r="BQ12" s="67"/>
      <c r="BR12" s="68"/>
      <c r="BS12" s="68"/>
      <c r="BT12" s="67"/>
      <c r="BU12" s="67"/>
      <c r="BV12" s="67"/>
      <c r="BW12" s="68"/>
      <c r="BX12" s="68"/>
      <c r="BY12" s="67"/>
      <c r="BZ12" s="67"/>
      <c r="CA12" s="67"/>
      <c r="CB12" s="67"/>
      <c r="CC12" s="67"/>
      <c r="CD12" s="67"/>
      <c r="CE12" s="67"/>
      <c r="CF12" s="67"/>
      <c r="CG12" s="67"/>
      <c r="CH12" s="68"/>
      <c r="CI12" s="67"/>
      <c r="CJ12" s="68"/>
      <c r="CK12" s="67"/>
      <c r="CL12" s="68"/>
      <c r="CM12" s="67"/>
      <c r="CN12" s="67"/>
      <c r="CO12" s="67"/>
      <c r="CP12" s="67"/>
      <c r="CQ12" s="69"/>
      <c r="CR12" s="70"/>
      <c r="CS12" s="67"/>
      <c r="CT12" s="67"/>
      <c r="CU12" s="67"/>
    </row>
    <row r="13" spans="1:114" ht="15.75" customHeight="1" thickBot="1" x14ac:dyDescent="0.3">
      <c r="A13" s="62"/>
      <c r="B13" s="64" t="s">
        <v>128</v>
      </c>
      <c r="C13" s="335" t="s">
        <v>155</v>
      </c>
      <c r="D13" s="64" t="s">
        <v>159</v>
      </c>
      <c r="E13" s="64">
        <v>2</v>
      </c>
      <c r="F13" s="65">
        <v>0.68710000000000004</v>
      </c>
      <c r="G13" s="310">
        <v>44413</v>
      </c>
      <c r="H13" s="345">
        <v>0.66500000000000004</v>
      </c>
      <c r="I13" s="345">
        <v>0.7</v>
      </c>
      <c r="J13" s="348">
        <v>44414</v>
      </c>
      <c r="K13" s="66">
        <f t="shared" si="0"/>
        <v>-3.2164168243341562E-2</v>
      </c>
      <c r="L13" s="66">
        <f t="shared" si="1"/>
        <v>1.8774559743850894E-2</v>
      </c>
      <c r="M13" s="348">
        <v>44435</v>
      </c>
      <c r="N13" s="64"/>
      <c r="O13" s="289">
        <v>53417200</v>
      </c>
      <c r="P13" s="289">
        <v>29770000</v>
      </c>
      <c r="Q13" s="289">
        <v>1</v>
      </c>
      <c r="R13" s="64" t="s">
        <v>152</v>
      </c>
      <c r="S13" s="64" t="s">
        <v>148</v>
      </c>
      <c r="T13" s="64" t="s">
        <v>160</v>
      </c>
      <c r="U13" s="67">
        <v>72</v>
      </c>
      <c r="V13" s="67">
        <v>1288183</v>
      </c>
      <c r="W13" s="67"/>
      <c r="X13" s="67"/>
      <c r="Y13" s="68"/>
      <c r="Z13" s="68"/>
      <c r="AA13" s="68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8"/>
      <c r="BL13" s="68"/>
      <c r="BM13" s="68"/>
      <c r="BN13" s="68"/>
      <c r="BO13" s="68"/>
      <c r="BP13" s="68"/>
      <c r="BQ13" s="67"/>
      <c r="BR13" s="68"/>
      <c r="BS13" s="68"/>
      <c r="BT13" s="67"/>
      <c r="BU13" s="67"/>
      <c r="BV13" s="67"/>
      <c r="BW13" s="68"/>
      <c r="BX13" s="68"/>
      <c r="BY13" s="67"/>
      <c r="BZ13" s="67"/>
      <c r="CA13" s="67"/>
      <c r="CB13" s="67"/>
      <c r="CC13" s="67"/>
      <c r="CD13" s="67"/>
      <c r="CE13" s="67"/>
      <c r="CF13" s="67"/>
      <c r="CG13" s="67"/>
      <c r="CH13" s="68"/>
      <c r="CI13" s="67"/>
      <c r="CJ13" s="68"/>
      <c r="CK13" s="67"/>
      <c r="CL13" s="68"/>
      <c r="CM13" s="67"/>
      <c r="CN13" s="67"/>
      <c r="CO13" s="67"/>
      <c r="CP13" s="67"/>
      <c r="CQ13" s="69"/>
      <c r="CR13" s="70"/>
      <c r="CS13" s="67"/>
      <c r="CT13" s="67"/>
      <c r="CU13" s="67"/>
    </row>
    <row r="14" spans="1:114" ht="15.75" customHeight="1" thickBot="1" x14ac:dyDescent="0.3">
      <c r="A14" s="62"/>
      <c r="B14" s="64" t="s">
        <v>128</v>
      </c>
      <c r="C14" s="335" t="s">
        <v>161</v>
      </c>
      <c r="D14" s="64" t="s">
        <v>162</v>
      </c>
      <c r="E14" s="64">
        <v>2</v>
      </c>
      <c r="F14" s="65">
        <v>1.1599999999999999</v>
      </c>
      <c r="G14" s="310">
        <v>44406</v>
      </c>
      <c r="H14" s="345">
        <v>1.24</v>
      </c>
      <c r="I14" s="345">
        <v>1.91</v>
      </c>
      <c r="J14" s="348">
        <v>44417</v>
      </c>
      <c r="K14" s="66">
        <f t="shared" si="0"/>
        <v>6.8965517241379448E-2</v>
      </c>
      <c r="L14" s="66">
        <f t="shared" si="1"/>
        <v>0.64655172413793105</v>
      </c>
      <c r="M14" s="348">
        <v>44435</v>
      </c>
      <c r="N14" s="64"/>
      <c r="O14" s="289">
        <v>11960505</v>
      </c>
      <c r="P14" s="289">
        <v>5650000</v>
      </c>
      <c r="Q14" s="289">
        <v>11</v>
      </c>
      <c r="R14" s="64" t="s">
        <v>131</v>
      </c>
      <c r="S14" s="64" t="s">
        <v>148</v>
      </c>
      <c r="T14" s="64" t="s">
        <v>163</v>
      </c>
      <c r="U14" s="67">
        <v>60</v>
      </c>
      <c r="V14" s="67">
        <v>500840</v>
      </c>
      <c r="W14" s="67"/>
      <c r="X14" s="67"/>
      <c r="Y14" s="68"/>
      <c r="Z14" s="68"/>
      <c r="AA14" s="68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8"/>
      <c r="BL14" s="68"/>
      <c r="BM14" s="68"/>
      <c r="BN14" s="68"/>
      <c r="BO14" s="68"/>
      <c r="BP14" s="68"/>
      <c r="BQ14" s="67"/>
      <c r="BR14" s="68"/>
      <c r="BS14" s="68"/>
      <c r="BT14" s="67"/>
      <c r="BU14" s="67"/>
      <c r="BV14" s="67"/>
      <c r="BW14" s="68"/>
      <c r="BX14" s="68"/>
      <c r="BY14" s="67"/>
      <c r="BZ14" s="67"/>
      <c r="CA14" s="67"/>
      <c r="CB14" s="67"/>
      <c r="CC14" s="67"/>
      <c r="CD14" s="67"/>
      <c r="CE14" s="67"/>
      <c r="CF14" s="67"/>
      <c r="CG14" s="67"/>
      <c r="CH14" s="68"/>
      <c r="CI14" s="67"/>
      <c r="CJ14" s="68"/>
      <c r="CK14" s="67"/>
      <c r="CL14" s="68"/>
      <c r="CM14" s="67"/>
      <c r="CN14" s="67"/>
      <c r="CO14" s="67"/>
      <c r="CP14" s="67"/>
      <c r="CQ14" s="69"/>
      <c r="CR14" s="70"/>
      <c r="CS14" s="67"/>
      <c r="CT14" s="67"/>
      <c r="CU14" s="67"/>
    </row>
    <row r="15" spans="1:114" ht="15.75" customHeight="1" thickBot="1" x14ac:dyDescent="0.3">
      <c r="A15" s="62"/>
      <c r="B15" s="64" t="s">
        <v>128</v>
      </c>
      <c r="C15" s="335" t="s">
        <v>164</v>
      </c>
      <c r="D15" s="64" t="s">
        <v>165</v>
      </c>
      <c r="E15" s="64">
        <v>2</v>
      </c>
      <c r="F15" s="65">
        <v>2.62</v>
      </c>
      <c r="G15" s="310">
        <v>44406</v>
      </c>
      <c r="H15" s="345">
        <v>2.17</v>
      </c>
      <c r="I15" s="345">
        <v>2.64</v>
      </c>
      <c r="J15" s="348">
        <v>44410</v>
      </c>
      <c r="K15" s="66">
        <f t="shared" si="0"/>
        <v>-0.1717557251908397</v>
      </c>
      <c r="L15" s="66">
        <f t="shared" si="1"/>
        <v>7.6335877862594437E-3</v>
      </c>
      <c r="M15" s="348">
        <v>44435</v>
      </c>
      <c r="N15" s="64"/>
      <c r="O15" s="289">
        <v>35134564</v>
      </c>
      <c r="P15" s="289">
        <v>21730000</v>
      </c>
      <c r="Q15" s="289">
        <v>4</v>
      </c>
      <c r="R15" s="64" t="s">
        <v>131</v>
      </c>
      <c r="S15" s="64" t="s">
        <v>157</v>
      </c>
      <c r="T15" s="64" t="s">
        <v>166</v>
      </c>
      <c r="U15" s="67">
        <v>2004</v>
      </c>
      <c r="V15" s="67">
        <v>459119</v>
      </c>
      <c r="W15" s="67"/>
      <c r="X15" s="67"/>
      <c r="Y15" s="68"/>
      <c r="Z15" s="68"/>
      <c r="AA15" s="68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8"/>
      <c r="BL15" s="68"/>
      <c r="BM15" s="68"/>
      <c r="BN15" s="68"/>
      <c r="BO15" s="68"/>
      <c r="BP15" s="68"/>
      <c r="BQ15" s="67"/>
      <c r="BR15" s="68"/>
      <c r="BS15" s="68"/>
      <c r="BT15" s="67"/>
      <c r="BU15" s="67"/>
      <c r="BV15" s="67"/>
      <c r="BW15" s="68"/>
      <c r="BX15" s="68"/>
      <c r="BY15" s="67"/>
      <c r="BZ15" s="67"/>
      <c r="CA15" s="67"/>
      <c r="CB15" s="67"/>
      <c r="CC15" s="67"/>
      <c r="CD15" s="67"/>
      <c r="CE15" s="67"/>
      <c r="CF15" s="67"/>
      <c r="CG15" s="67"/>
      <c r="CH15" s="68"/>
      <c r="CI15" s="67"/>
      <c r="CJ15" s="68"/>
      <c r="CK15" s="67"/>
      <c r="CL15" s="68"/>
      <c r="CM15" s="67"/>
      <c r="CN15" s="67"/>
      <c r="CO15" s="67"/>
      <c r="CP15" s="67"/>
      <c r="CQ15" s="69"/>
      <c r="CR15" s="70"/>
      <c r="CS15" s="67"/>
      <c r="CT15" s="67"/>
      <c r="CU15" s="67"/>
    </row>
    <row r="16" spans="1:114" ht="15.75" customHeight="1" thickBot="1" x14ac:dyDescent="0.3">
      <c r="A16" s="62"/>
      <c r="B16" s="64" t="s">
        <v>128</v>
      </c>
      <c r="C16" s="335" t="s">
        <v>167</v>
      </c>
      <c r="D16" s="64" t="s">
        <v>168</v>
      </c>
      <c r="E16" s="64">
        <v>1</v>
      </c>
      <c r="F16" s="65">
        <v>4.7</v>
      </c>
      <c r="G16" s="310">
        <v>44406</v>
      </c>
      <c r="H16" s="345">
        <v>3.85</v>
      </c>
      <c r="I16" s="345">
        <v>5</v>
      </c>
      <c r="J16" s="348">
        <v>44410</v>
      </c>
      <c r="K16" s="66">
        <f t="shared" si="0"/>
        <v>-0.18085106382978722</v>
      </c>
      <c r="L16" s="66">
        <f t="shared" si="1"/>
        <v>6.3829787234042534E-2</v>
      </c>
      <c r="M16" s="348">
        <v>44435</v>
      </c>
      <c r="N16" s="64"/>
      <c r="O16" s="289">
        <v>35843902</v>
      </c>
      <c r="P16" s="289">
        <v>12370000</v>
      </c>
      <c r="Q16" s="289">
        <v>4</v>
      </c>
      <c r="R16" s="64" t="s">
        <v>169</v>
      </c>
      <c r="S16" s="64" t="s">
        <v>148</v>
      </c>
      <c r="T16" s="64" t="s">
        <v>154</v>
      </c>
      <c r="U16" s="67">
        <v>72</v>
      </c>
      <c r="V16" s="67">
        <v>387019</v>
      </c>
      <c r="W16" s="67"/>
      <c r="X16" s="67"/>
      <c r="Y16" s="68"/>
      <c r="Z16" s="68"/>
      <c r="AA16" s="68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8"/>
      <c r="BL16" s="68"/>
      <c r="BM16" s="68"/>
      <c r="BN16" s="68"/>
      <c r="BO16" s="68"/>
      <c r="BP16" s="68"/>
      <c r="BQ16" s="67"/>
      <c r="BR16" s="68"/>
      <c r="BS16" s="68"/>
      <c r="BT16" s="67"/>
      <c r="BU16" s="67"/>
      <c r="BV16" s="67"/>
      <c r="BW16" s="68"/>
      <c r="BX16" s="68"/>
      <c r="BY16" s="67"/>
      <c r="BZ16" s="67"/>
      <c r="CA16" s="67"/>
      <c r="CB16" s="67"/>
      <c r="CC16" s="67"/>
      <c r="CD16" s="67"/>
      <c r="CE16" s="67"/>
      <c r="CF16" s="67"/>
      <c r="CG16" s="67"/>
      <c r="CH16" s="68"/>
      <c r="CI16" s="67"/>
      <c r="CJ16" s="68"/>
      <c r="CK16" s="67"/>
      <c r="CL16" s="68"/>
      <c r="CM16" s="67"/>
      <c r="CN16" s="67"/>
      <c r="CO16" s="67"/>
      <c r="CP16" s="67"/>
      <c r="CQ16" s="69"/>
      <c r="CR16" s="70"/>
      <c r="CS16" s="67"/>
      <c r="CT16" s="67"/>
      <c r="CU16" s="67"/>
    </row>
    <row r="17" spans="1:99" ht="15.75" customHeight="1" thickBot="1" x14ac:dyDescent="0.3">
      <c r="A17" s="62" t="s">
        <v>170</v>
      </c>
      <c r="B17" s="64" t="s">
        <v>128</v>
      </c>
      <c r="C17" s="335" t="s">
        <v>171</v>
      </c>
      <c r="D17" s="64" t="s">
        <v>172</v>
      </c>
      <c r="E17" s="64">
        <v>1</v>
      </c>
      <c r="F17" s="65">
        <v>1.81</v>
      </c>
      <c r="G17" s="310">
        <v>44399</v>
      </c>
      <c r="H17" s="345">
        <v>1.64</v>
      </c>
      <c r="I17" s="314">
        <v>2.34</v>
      </c>
      <c r="J17" s="310">
        <v>44404</v>
      </c>
      <c r="K17" s="66">
        <f t="shared" si="0"/>
        <v>-9.3922651933701751E-2</v>
      </c>
      <c r="L17" s="66">
        <f t="shared" si="1"/>
        <v>0.29281767955801086</v>
      </c>
      <c r="M17" s="348">
        <v>44435</v>
      </c>
      <c r="N17" s="64"/>
      <c r="O17" s="289">
        <v>505055</v>
      </c>
      <c r="P17" s="289">
        <v>45240000</v>
      </c>
      <c r="Q17" s="289">
        <v>5</v>
      </c>
      <c r="R17" s="64" t="s">
        <v>169</v>
      </c>
      <c r="S17" s="64" t="s">
        <v>148</v>
      </c>
      <c r="T17" s="64" t="s">
        <v>154</v>
      </c>
      <c r="U17" s="67">
        <v>716</v>
      </c>
      <c r="V17" s="67">
        <v>258802</v>
      </c>
      <c r="W17" s="67"/>
      <c r="X17" s="67"/>
      <c r="Y17" s="68"/>
      <c r="Z17" s="68"/>
      <c r="AA17" s="68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8"/>
      <c r="BL17" s="68"/>
      <c r="BM17" s="68"/>
      <c r="BN17" s="68"/>
      <c r="BO17" s="68"/>
      <c r="BP17" s="68"/>
      <c r="BQ17" s="67"/>
      <c r="BR17" s="68"/>
      <c r="BS17" s="68"/>
      <c r="BT17" s="67"/>
      <c r="BU17" s="67"/>
      <c r="BV17" s="67"/>
      <c r="BW17" s="68"/>
      <c r="BX17" s="68"/>
      <c r="BY17" s="67"/>
      <c r="BZ17" s="67"/>
      <c r="CA17" s="67"/>
      <c r="CB17" s="67"/>
      <c r="CC17" s="67"/>
      <c r="CD17" s="67"/>
      <c r="CE17" s="67"/>
      <c r="CF17" s="67"/>
      <c r="CG17" s="67"/>
      <c r="CH17" s="68"/>
      <c r="CI17" s="67"/>
      <c r="CJ17" s="68"/>
      <c r="CK17" s="67"/>
      <c r="CL17" s="68"/>
      <c r="CM17" s="67"/>
      <c r="CN17" s="67"/>
      <c r="CO17" s="67"/>
      <c r="CP17" s="67"/>
      <c r="CQ17" s="69"/>
      <c r="CR17" s="70"/>
      <c r="CS17" s="67"/>
      <c r="CT17" s="67"/>
      <c r="CU17" s="67"/>
    </row>
    <row r="18" spans="1:99" ht="15.75" customHeight="1" thickBot="1" x14ac:dyDescent="0.3">
      <c r="A18" s="62"/>
      <c r="B18" s="64" t="s">
        <v>128</v>
      </c>
      <c r="C18" s="335" t="s">
        <v>173</v>
      </c>
      <c r="D18" s="64" t="s">
        <v>174</v>
      </c>
      <c r="E18" s="64">
        <v>1</v>
      </c>
      <c r="F18" s="65">
        <v>2.62</v>
      </c>
      <c r="G18" s="310">
        <v>44399</v>
      </c>
      <c r="H18" s="345">
        <v>2.73</v>
      </c>
      <c r="I18" s="345">
        <v>3.04</v>
      </c>
      <c r="J18" s="348">
        <v>44433</v>
      </c>
      <c r="K18" s="66">
        <f t="shared" si="0"/>
        <v>4.1984732824427384E-2</v>
      </c>
      <c r="L18" s="66">
        <f t="shared" si="1"/>
        <v>0.16030534351145032</v>
      </c>
      <c r="M18" s="348">
        <v>44435</v>
      </c>
      <c r="N18" s="64"/>
      <c r="O18" s="289">
        <v>17591773</v>
      </c>
      <c r="P18" s="289">
        <v>11690000</v>
      </c>
      <c r="Q18" s="289">
        <v>34</v>
      </c>
      <c r="R18" s="64" t="s">
        <v>131</v>
      </c>
      <c r="S18" s="64" t="s">
        <v>135</v>
      </c>
      <c r="T18" s="64" t="s">
        <v>133</v>
      </c>
      <c r="U18" s="67">
        <v>84</v>
      </c>
      <c r="V18" s="67">
        <v>436913</v>
      </c>
      <c r="W18" s="67"/>
      <c r="X18" s="67"/>
      <c r="Y18" s="68"/>
      <c r="Z18" s="68"/>
      <c r="AA18" s="68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8"/>
      <c r="BL18" s="68"/>
      <c r="BM18" s="68"/>
      <c r="BN18" s="68"/>
      <c r="BO18" s="68"/>
      <c r="BP18" s="68"/>
      <c r="BQ18" s="67"/>
      <c r="BR18" s="68"/>
      <c r="BS18" s="68"/>
      <c r="BT18" s="67"/>
      <c r="BU18" s="67"/>
      <c r="BV18" s="67"/>
      <c r="BW18" s="68"/>
      <c r="BX18" s="68"/>
      <c r="BY18" s="67"/>
      <c r="BZ18" s="67"/>
      <c r="CA18" s="67"/>
      <c r="CB18" s="67"/>
      <c r="CC18" s="67"/>
      <c r="CD18" s="67"/>
      <c r="CE18" s="67"/>
      <c r="CF18" s="67"/>
      <c r="CG18" s="67"/>
      <c r="CH18" s="68"/>
      <c r="CI18" s="67"/>
      <c r="CJ18" s="68"/>
      <c r="CK18" s="67"/>
      <c r="CL18" s="68"/>
      <c r="CM18" s="67"/>
      <c r="CN18" s="67"/>
      <c r="CO18" s="67"/>
      <c r="CP18" s="67"/>
      <c r="CQ18" s="69"/>
      <c r="CR18" s="70"/>
      <c r="CS18" s="67"/>
      <c r="CT18" s="67"/>
      <c r="CU18" s="67"/>
    </row>
    <row r="19" spans="1:99" ht="15.75" customHeight="1" thickBot="1" x14ac:dyDescent="0.3">
      <c r="A19" s="62"/>
      <c r="B19" s="64" t="s">
        <v>128</v>
      </c>
      <c r="C19" s="335" t="s">
        <v>175</v>
      </c>
      <c r="D19" s="64" t="s">
        <v>176</v>
      </c>
      <c r="E19" s="64">
        <v>1</v>
      </c>
      <c r="F19" s="65">
        <v>4.28</v>
      </c>
      <c r="G19" s="310">
        <v>44398</v>
      </c>
      <c r="H19" s="345">
        <v>3.85</v>
      </c>
      <c r="I19" s="314">
        <v>5.47</v>
      </c>
      <c r="J19" s="310">
        <v>44404</v>
      </c>
      <c r="K19" s="66">
        <f t="shared" si="0"/>
        <v>-0.10046728971962615</v>
      </c>
      <c r="L19" s="66">
        <f t="shared" si="1"/>
        <v>0.27803738317756999</v>
      </c>
      <c r="M19" s="348">
        <v>44435</v>
      </c>
      <c r="N19" s="64"/>
      <c r="O19" s="289">
        <v>11505000</v>
      </c>
      <c r="P19" s="289">
        <v>10390000</v>
      </c>
      <c r="Q19" s="289">
        <v>6</v>
      </c>
      <c r="R19" s="64" t="s">
        <v>131</v>
      </c>
      <c r="S19" s="64" t="s">
        <v>157</v>
      </c>
      <c r="T19" s="64" t="s">
        <v>154</v>
      </c>
      <c r="U19" s="67">
        <v>352</v>
      </c>
      <c r="V19" s="67">
        <v>274590</v>
      </c>
      <c r="W19" s="67"/>
      <c r="X19" s="67"/>
      <c r="Y19" s="68"/>
      <c r="Z19" s="68"/>
      <c r="AA19" s="68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8"/>
      <c r="BL19" s="68"/>
      <c r="BM19" s="68"/>
      <c r="BN19" s="68"/>
      <c r="BO19" s="68"/>
      <c r="BP19" s="68"/>
      <c r="BQ19" s="67"/>
      <c r="BR19" s="68"/>
      <c r="BS19" s="68"/>
      <c r="BT19" s="67"/>
      <c r="BU19" s="67"/>
      <c r="BV19" s="67"/>
      <c r="BW19" s="68"/>
      <c r="BX19" s="68"/>
      <c r="BY19" s="67"/>
      <c r="BZ19" s="67"/>
      <c r="CA19" s="67"/>
      <c r="CB19" s="67"/>
      <c r="CC19" s="67"/>
      <c r="CD19" s="67"/>
      <c r="CE19" s="67"/>
      <c r="CF19" s="67"/>
      <c r="CG19" s="67"/>
      <c r="CH19" s="68"/>
      <c r="CI19" s="67"/>
      <c r="CJ19" s="68"/>
      <c r="CK19" s="67"/>
      <c r="CL19" s="68"/>
      <c r="CM19" s="67"/>
      <c r="CN19" s="67"/>
      <c r="CO19" s="67"/>
      <c r="CP19" s="67"/>
      <c r="CQ19" s="69"/>
      <c r="CR19" s="70"/>
      <c r="CS19" s="67"/>
      <c r="CT19" s="67"/>
      <c r="CU19" s="67"/>
    </row>
    <row r="20" spans="1:99" ht="15.75" customHeight="1" thickBot="1" x14ac:dyDescent="0.3">
      <c r="A20" s="62"/>
      <c r="B20" s="64" t="s">
        <v>128</v>
      </c>
      <c r="C20" s="335" t="s">
        <v>177</v>
      </c>
      <c r="D20" s="64" t="s">
        <v>178</v>
      </c>
      <c r="E20" s="64">
        <v>1</v>
      </c>
      <c r="F20" s="65">
        <v>3.29</v>
      </c>
      <c r="G20" s="310">
        <v>44397</v>
      </c>
      <c r="H20" s="345">
        <v>3.03</v>
      </c>
      <c r="I20" s="314">
        <v>4.97</v>
      </c>
      <c r="J20" s="310">
        <v>44399</v>
      </c>
      <c r="K20" s="66">
        <f t="shared" si="0"/>
        <v>-7.902735562310037E-2</v>
      </c>
      <c r="L20" s="66">
        <f t="shared" si="1"/>
        <v>0.51063829787234027</v>
      </c>
      <c r="M20" s="348">
        <v>44435</v>
      </c>
      <c r="N20" s="64"/>
      <c r="O20" s="289">
        <v>13829601</v>
      </c>
      <c r="P20" s="289">
        <v>4850000</v>
      </c>
      <c r="Q20" s="289">
        <v>2</v>
      </c>
      <c r="R20" s="64" t="s">
        <v>131</v>
      </c>
      <c r="S20" s="64" t="s">
        <v>135</v>
      </c>
      <c r="T20" s="64" t="s">
        <v>133</v>
      </c>
      <c r="U20" s="67">
        <v>152</v>
      </c>
      <c r="V20" s="67">
        <v>228643</v>
      </c>
      <c r="W20" s="67"/>
      <c r="X20" s="67"/>
      <c r="Y20" s="68"/>
      <c r="Z20" s="68"/>
      <c r="AA20" s="68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8"/>
      <c r="BL20" s="68"/>
      <c r="BM20" s="68"/>
      <c r="BN20" s="68"/>
      <c r="BO20" s="68"/>
      <c r="BP20" s="68"/>
      <c r="BQ20" s="67"/>
      <c r="BR20" s="68"/>
      <c r="BS20" s="68"/>
      <c r="BT20" s="67"/>
      <c r="BU20" s="67"/>
      <c r="BV20" s="67"/>
      <c r="BW20" s="68"/>
      <c r="BX20" s="68"/>
      <c r="BY20" s="67"/>
      <c r="BZ20" s="67"/>
      <c r="CA20" s="67"/>
      <c r="CB20" s="67"/>
      <c r="CC20" s="67"/>
      <c r="CD20" s="67"/>
      <c r="CE20" s="67"/>
      <c r="CF20" s="67"/>
      <c r="CG20" s="67"/>
      <c r="CH20" s="68"/>
      <c r="CI20" s="67"/>
      <c r="CJ20" s="68"/>
      <c r="CK20" s="67"/>
      <c r="CL20" s="68"/>
      <c r="CM20" s="67"/>
      <c r="CN20" s="67"/>
      <c r="CO20" s="67"/>
      <c r="CP20" s="67"/>
      <c r="CQ20" s="69"/>
      <c r="CR20" s="70"/>
      <c r="CS20" s="67"/>
      <c r="CT20" s="67"/>
      <c r="CU20" s="67"/>
    </row>
    <row r="21" spans="1:99" ht="15.75" customHeight="1" thickBot="1" x14ac:dyDescent="0.3">
      <c r="A21" s="62"/>
      <c r="B21" s="64" t="s">
        <v>128</v>
      </c>
      <c r="C21" s="335" t="s">
        <v>179</v>
      </c>
      <c r="D21" s="64" t="s">
        <v>180</v>
      </c>
      <c r="E21" s="64">
        <v>1</v>
      </c>
      <c r="F21" s="65">
        <v>11.3</v>
      </c>
      <c r="G21" s="310">
        <v>44397</v>
      </c>
      <c r="H21" s="345">
        <v>8.64</v>
      </c>
      <c r="I21" s="314">
        <v>13</v>
      </c>
      <c r="J21" s="310">
        <v>44398</v>
      </c>
      <c r="K21" s="66">
        <f t="shared" si="0"/>
        <v>-0.23539823008849559</v>
      </c>
      <c r="L21" s="66">
        <f t="shared" si="1"/>
        <v>0.15044247787610621</v>
      </c>
      <c r="M21" s="348">
        <v>44435</v>
      </c>
      <c r="N21" s="64"/>
      <c r="O21" s="289">
        <v>21127718</v>
      </c>
      <c r="P21" s="289">
        <v>11000000</v>
      </c>
      <c r="Q21" s="289">
        <v>1</v>
      </c>
      <c r="R21" s="64" t="s">
        <v>131</v>
      </c>
      <c r="S21" s="64" t="s">
        <v>148</v>
      </c>
      <c r="T21" s="64" t="s">
        <v>154</v>
      </c>
      <c r="U21" s="67">
        <v>60</v>
      </c>
      <c r="V21" s="67">
        <v>210380</v>
      </c>
      <c r="W21" s="67"/>
      <c r="X21" s="67"/>
      <c r="Y21" s="68"/>
      <c r="Z21" s="68"/>
      <c r="AA21" s="68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8"/>
      <c r="BL21" s="68"/>
      <c r="BM21" s="68"/>
      <c r="BN21" s="68"/>
      <c r="BO21" s="68"/>
      <c r="BP21" s="68"/>
      <c r="BQ21" s="67"/>
      <c r="BR21" s="68"/>
      <c r="BS21" s="68"/>
      <c r="BT21" s="67"/>
      <c r="BU21" s="67"/>
      <c r="BV21" s="67"/>
      <c r="BW21" s="68"/>
      <c r="BX21" s="68"/>
      <c r="BY21" s="67"/>
      <c r="BZ21" s="67"/>
      <c r="CA21" s="67"/>
      <c r="CB21" s="67"/>
      <c r="CC21" s="67"/>
      <c r="CD21" s="67"/>
      <c r="CE21" s="67"/>
      <c r="CF21" s="67"/>
      <c r="CG21" s="67"/>
      <c r="CH21" s="68"/>
      <c r="CI21" s="67"/>
      <c r="CJ21" s="68"/>
      <c r="CK21" s="67"/>
      <c r="CL21" s="68"/>
      <c r="CM21" s="67"/>
      <c r="CN21" s="67"/>
      <c r="CO21" s="67"/>
      <c r="CP21" s="67"/>
      <c r="CQ21" s="69"/>
      <c r="CR21" s="70"/>
      <c r="CS21" s="67"/>
      <c r="CT21" s="67"/>
      <c r="CU21" s="67"/>
    </row>
    <row r="22" spans="1:99" ht="15.75" customHeight="1" thickBot="1" x14ac:dyDescent="0.3">
      <c r="A22" s="62"/>
      <c r="B22" s="64" t="s">
        <v>181</v>
      </c>
      <c r="C22" s="335" t="s">
        <v>182</v>
      </c>
      <c r="D22" s="64" t="s">
        <v>183</v>
      </c>
      <c r="E22" s="64">
        <v>1</v>
      </c>
      <c r="F22" s="65">
        <v>1E-3</v>
      </c>
      <c r="G22" s="310">
        <v>44396</v>
      </c>
      <c r="H22" s="345">
        <v>8.0000000000000004E-4</v>
      </c>
      <c r="I22" s="65">
        <v>1.1999999999999999E-3</v>
      </c>
      <c r="J22" s="310">
        <v>44398</v>
      </c>
      <c r="K22" s="66">
        <f t="shared" si="0"/>
        <v>-0.19999999999999996</v>
      </c>
      <c r="L22" s="66">
        <f t="shared" si="1"/>
        <v>0.19999999999999996</v>
      </c>
      <c r="M22" s="348">
        <v>44435</v>
      </c>
      <c r="N22" s="64"/>
      <c r="O22" s="289">
        <v>6818841030</v>
      </c>
      <c r="P22" s="289"/>
      <c r="Q22" s="289"/>
      <c r="R22" s="64"/>
      <c r="S22" s="64"/>
      <c r="T22" s="64"/>
      <c r="U22" s="67">
        <v>236</v>
      </c>
      <c r="V22" s="67">
        <v>156298973</v>
      </c>
      <c r="W22" s="67"/>
      <c r="X22" s="67"/>
      <c r="Y22" s="68"/>
      <c r="Z22" s="68"/>
      <c r="AA22" s="68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8"/>
      <c r="BL22" s="68"/>
      <c r="BM22" s="68"/>
      <c r="BN22" s="68"/>
      <c r="BO22" s="68"/>
      <c r="BP22" s="68"/>
      <c r="BQ22" s="67"/>
      <c r="BR22" s="68"/>
      <c r="BS22" s="68"/>
      <c r="BT22" s="67"/>
      <c r="BU22" s="67"/>
      <c r="BV22" s="67"/>
      <c r="BW22" s="68"/>
      <c r="BX22" s="68"/>
      <c r="BY22" s="67"/>
      <c r="BZ22" s="67"/>
      <c r="CA22" s="67"/>
      <c r="CB22" s="67"/>
      <c r="CC22" s="67"/>
      <c r="CD22" s="67"/>
      <c r="CE22" s="67"/>
      <c r="CF22" s="67"/>
      <c r="CG22" s="67"/>
      <c r="CH22" s="68"/>
      <c r="CI22" s="67"/>
      <c r="CJ22" s="68"/>
      <c r="CK22" s="67"/>
      <c r="CL22" s="68"/>
      <c r="CM22" s="67"/>
      <c r="CN22" s="67"/>
      <c r="CO22" s="67"/>
      <c r="CP22" s="67"/>
      <c r="CQ22" s="69"/>
      <c r="CR22" s="70"/>
      <c r="CS22" s="67"/>
      <c r="CT22" s="67"/>
      <c r="CU22" s="67"/>
    </row>
    <row r="23" spans="1:99" ht="15.75" customHeight="1" thickBot="1" x14ac:dyDescent="0.3">
      <c r="A23" s="62"/>
      <c r="B23" s="64" t="s">
        <v>128</v>
      </c>
      <c r="C23" s="335" t="s">
        <v>184</v>
      </c>
      <c r="D23" s="64" t="s">
        <v>185</v>
      </c>
      <c r="E23" s="64">
        <v>1</v>
      </c>
      <c r="F23" s="65">
        <v>1.93</v>
      </c>
      <c r="G23" s="310">
        <v>44392</v>
      </c>
      <c r="H23" s="345">
        <v>2.19</v>
      </c>
      <c r="I23" s="345">
        <v>2.2200000000000002</v>
      </c>
      <c r="J23" s="348">
        <v>44435</v>
      </c>
      <c r="K23" s="66">
        <f t="shared" si="0"/>
        <v>0.13471502590673579</v>
      </c>
      <c r="L23" s="66">
        <f t="shared" si="1"/>
        <v>0.15025906735751304</v>
      </c>
      <c r="M23" s="348">
        <v>44435</v>
      </c>
      <c r="N23" s="64"/>
      <c r="O23" s="289">
        <v>135473947</v>
      </c>
      <c r="P23" s="289">
        <v>123170000</v>
      </c>
      <c r="Q23" s="289">
        <v>43</v>
      </c>
      <c r="R23" s="64" t="s">
        <v>131</v>
      </c>
      <c r="S23" s="64" t="s">
        <v>148</v>
      </c>
      <c r="T23" s="64" t="s">
        <v>154</v>
      </c>
      <c r="U23" s="67">
        <v>140</v>
      </c>
      <c r="V23" s="67">
        <v>4598713</v>
      </c>
      <c r="W23" s="67"/>
      <c r="X23" s="67"/>
      <c r="Y23" s="68"/>
      <c r="Z23" s="68"/>
      <c r="AA23" s="68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8"/>
      <c r="BL23" s="68"/>
      <c r="BM23" s="68"/>
      <c r="BN23" s="68"/>
      <c r="BO23" s="68"/>
      <c r="BP23" s="68"/>
      <c r="BQ23" s="67"/>
      <c r="BR23" s="68"/>
      <c r="BS23" s="68"/>
      <c r="BT23" s="67"/>
      <c r="BU23" s="67"/>
      <c r="BV23" s="67"/>
      <c r="BW23" s="68"/>
      <c r="BX23" s="68"/>
      <c r="BY23" s="67"/>
      <c r="BZ23" s="67"/>
      <c r="CA23" s="67"/>
      <c r="CB23" s="67"/>
      <c r="CC23" s="67"/>
      <c r="CD23" s="67"/>
      <c r="CE23" s="67"/>
      <c r="CF23" s="67"/>
      <c r="CG23" s="67"/>
      <c r="CH23" s="68"/>
      <c r="CI23" s="67"/>
      <c r="CJ23" s="68"/>
      <c r="CK23" s="67"/>
      <c r="CL23" s="68"/>
      <c r="CM23" s="67"/>
      <c r="CN23" s="67"/>
      <c r="CO23" s="67"/>
      <c r="CP23" s="67"/>
      <c r="CQ23" s="69"/>
      <c r="CR23" s="70"/>
      <c r="CS23" s="67"/>
      <c r="CT23" s="67"/>
      <c r="CU23" s="67"/>
    </row>
    <row r="24" spans="1:99" ht="15.75" customHeight="1" thickBot="1" x14ac:dyDescent="0.3">
      <c r="A24" s="62"/>
      <c r="B24" s="64" t="s">
        <v>128</v>
      </c>
      <c r="C24" s="335" t="s">
        <v>186</v>
      </c>
      <c r="D24" s="64" t="s">
        <v>187</v>
      </c>
      <c r="E24" s="64">
        <v>1</v>
      </c>
      <c r="F24" s="65">
        <v>5.74</v>
      </c>
      <c r="G24" s="310">
        <v>44392</v>
      </c>
      <c r="H24" s="345">
        <v>5.9</v>
      </c>
      <c r="I24" s="345">
        <v>6.69</v>
      </c>
      <c r="J24" s="348">
        <v>44418</v>
      </c>
      <c r="K24" s="66">
        <f t="shared" si="0"/>
        <v>2.7874564459930307E-2</v>
      </c>
      <c r="L24" s="66">
        <f t="shared" si="1"/>
        <v>0.16550522648083632</v>
      </c>
      <c r="M24" s="348">
        <v>44435</v>
      </c>
      <c r="N24" s="64"/>
      <c r="O24" s="289">
        <v>8089457</v>
      </c>
      <c r="P24" s="289">
        <v>2480000</v>
      </c>
      <c r="Q24" s="289">
        <v>26</v>
      </c>
      <c r="R24" s="64" t="s">
        <v>131</v>
      </c>
      <c r="S24" s="64" t="s">
        <v>188</v>
      </c>
      <c r="T24" s="64" t="s">
        <v>189</v>
      </c>
      <c r="U24" s="67">
        <v>60</v>
      </c>
      <c r="V24" s="67">
        <v>213815</v>
      </c>
      <c r="W24" s="67"/>
      <c r="X24" s="67"/>
      <c r="Y24" s="68"/>
      <c r="Z24" s="68"/>
      <c r="AA24" s="68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8"/>
      <c r="BL24" s="68"/>
      <c r="BM24" s="68"/>
      <c r="BN24" s="68"/>
      <c r="BO24" s="68"/>
      <c r="BP24" s="68"/>
      <c r="BQ24" s="67"/>
      <c r="BR24" s="68"/>
      <c r="BS24" s="68"/>
      <c r="BT24" s="67"/>
      <c r="BU24" s="67"/>
      <c r="BV24" s="67"/>
      <c r="BW24" s="68"/>
      <c r="BX24" s="68"/>
      <c r="BY24" s="67"/>
      <c r="BZ24" s="67"/>
      <c r="CA24" s="67"/>
      <c r="CB24" s="67"/>
      <c r="CC24" s="67"/>
      <c r="CD24" s="67"/>
      <c r="CE24" s="67"/>
      <c r="CF24" s="67"/>
      <c r="CG24" s="67"/>
      <c r="CH24" s="68"/>
      <c r="CI24" s="67"/>
      <c r="CJ24" s="68"/>
      <c r="CK24" s="67"/>
      <c r="CL24" s="68"/>
      <c r="CM24" s="67"/>
      <c r="CN24" s="67"/>
      <c r="CO24" s="67"/>
      <c r="CP24" s="67"/>
      <c r="CQ24" s="69"/>
      <c r="CR24" s="70"/>
      <c r="CS24" s="67"/>
      <c r="CT24" s="67"/>
      <c r="CU24" s="67"/>
    </row>
    <row r="25" spans="1:99" ht="15.75" customHeight="1" thickBot="1" x14ac:dyDescent="0.3">
      <c r="A25" s="62"/>
      <c r="B25" s="64" t="s">
        <v>128</v>
      </c>
      <c r="C25" s="335" t="s">
        <v>190</v>
      </c>
      <c r="D25" s="64" t="s">
        <v>191</v>
      </c>
      <c r="E25" s="64">
        <v>1</v>
      </c>
      <c r="F25" s="65">
        <v>4.6100000000000003</v>
      </c>
      <c r="G25" s="310">
        <v>44392</v>
      </c>
      <c r="H25" s="345">
        <v>4.72</v>
      </c>
      <c r="I25" s="65">
        <v>5.34</v>
      </c>
      <c r="J25" s="310">
        <v>44392</v>
      </c>
      <c r="K25" s="66">
        <f t="shared" si="0"/>
        <v>2.3861171366594158E-2</v>
      </c>
      <c r="L25" s="66">
        <f t="shared" si="1"/>
        <v>0.15835140997830788</v>
      </c>
      <c r="M25" s="348">
        <v>44435</v>
      </c>
      <c r="N25" s="64"/>
      <c r="O25" s="289">
        <v>20444712</v>
      </c>
      <c r="P25" s="289">
        <v>14320000</v>
      </c>
      <c r="Q25" s="289"/>
      <c r="R25" s="64" t="s">
        <v>152</v>
      </c>
      <c r="S25" s="64" t="s">
        <v>192</v>
      </c>
      <c r="T25" s="64" t="s">
        <v>193</v>
      </c>
      <c r="U25" s="67">
        <v>84</v>
      </c>
      <c r="V25" s="67">
        <v>5330236</v>
      </c>
      <c r="W25" s="67"/>
      <c r="X25" s="67"/>
      <c r="Y25" s="68"/>
      <c r="Z25" s="68"/>
      <c r="AA25" s="68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8"/>
      <c r="BL25" s="68"/>
      <c r="BM25" s="68"/>
      <c r="BN25" s="68"/>
      <c r="BO25" s="68"/>
      <c r="BP25" s="68"/>
      <c r="BQ25" s="67"/>
      <c r="BR25" s="68"/>
      <c r="BS25" s="68"/>
      <c r="BT25" s="67"/>
      <c r="BU25" s="67"/>
      <c r="BV25" s="67"/>
      <c r="BW25" s="68"/>
      <c r="BX25" s="68"/>
      <c r="BY25" s="67"/>
      <c r="BZ25" s="67"/>
      <c r="CA25" s="67"/>
      <c r="CB25" s="67"/>
      <c r="CC25" s="67"/>
      <c r="CD25" s="67"/>
      <c r="CE25" s="67"/>
      <c r="CF25" s="67"/>
      <c r="CG25" s="67"/>
      <c r="CH25" s="68"/>
      <c r="CI25" s="67"/>
      <c r="CJ25" s="68"/>
      <c r="CK25" s="67"/>
      <c r="CL25" s="68"/>
      <c r="CM25" s="67"/>
      <c r="CN25" s="67"/>
      <c r="CO25" s="67"/>
      <c r="CP25" s="67"/>
      <c r="CQ25" s="69"/>
      <c r="CR25" s="70"/>
      <c r="CS25" s="67"/>
      <c r="CT25" s="67"/>
      <c r="CU25" s="67"/>
    </row>
    <row r="26" spans="1:99" ht="15.75" customHeight="1" thickBot="1" x14ac:dyDescent="0.3">
      <c r="A26" s="82" t="s">
        <v>194</v>
      </c>
      <c r="B26" s="64" t="s">
        <v>128</v>
      </c>
      <c r="C26" s="335" t="s">
        <v>195</v>
      </c>
      <c r="D26" s="64" t="s">
        <v>196</v>
      </c>
      <c r="E26" s="64">
        <v>2</v>
      </c>
      <c r="F26" s="65">
        <v>3.44</v>
      </c>
      <c r="G26" s="310">
        <v>44391</v>
      </c>
      <c r="H26" s="345">
        <v>2.1150000000000002</v>
      </c>
      <c r="I26" s="65">
        <v>4.74</v>
      </c>
      <c r="J26" s="310">
        <v>44397</v>
      </c>
      <c r="K26" s="66">
        <f t="shared" si="0"/>
        <v>-0.38517441860465107</v>
      </c>
      <c r="L26" s="66">
        <f t="shared" si="1"/>
        <v>0.37790697674418605</v>
      </c>
      <c r="M26" s="348">
        <v>44435</v>
      </c>
      <c r="N26" s="64"/>
      <c r="O26" s="289">
        <v>7832939</v>
      </c>
      <c r="P26" s="289">
        <v>33350000</v>
      </c>
      <c r="Q26" s="289"/>
      <c r="R26" s="64" t="s">
        <v>131</v>
      </c>
      <c r="S26" s="64" t="s">
        <v>157</v>
      </c>
      <c r="T26" s="64" t="s">
        <v>197</v>
      </c>
      <c r="U26" s="67">
        <v>356</v>
      </c>
      <c r="V26" s="67">
        <v>1162619</v>
      </c>
      <c r="W26" s="67"/>
      <c r="X26" s="67"/>
      <c r="Y26" s="68"/>
      <c r="Z26" s="68"/>
      <c r="AA26" s="68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8"/>
      <c r="BL26" s="68"/>
      <c r="BM26" s="68"/>
      <c r="BN26" s="68"/>
      <c r="BO26" s="68"/>
      <c r="BP26" s="68"/>
      <c r="BQ26" s="67"/>
      <c r="BR26" s="68"/>
      <c r="BS26" s="68"/>
      <c r="BT26" s="67"/>
      <c r="BU26" s="67"/>
      <c r="BV26" s="67"/>
      <c r="BW26" s="68"/>
      <c r="BX26" s="68"/>
      <c r="BY26" s="67"/>
      <c r="BZ26" s="67"/>
      <c r="CA26" s="67"/>
      <c r="CB26" s="67"/>
      <c r="CC26" s="67"/>
      <c r="CD26" s="67"/>
      <c r="CE26" s="67"/>
      <c r="CF26" s="67"/>
      <c r="CG26" s="67"/>
      <c r="CH26" s="68"/>
      <c r="CI26" s="67"/>
      <c r="CJ26" s="68"/>
      <c r="CK26" s="67"/>
      <c r="CL26" s="68"/>
      <c r="CM26" s="67"/>
      <c r="CN26" s="67"/>
      <c r="CO26" s="67"/>
      <c r="CP26" s="67"/>
      <c r="CQ26" s="69"/>
      <c r="CR26" s="70"/>
      <c r="CS26" s="67"/>
      <c r="CT26" s="67"/>
      <c r="CU26" s="67"/>
    </row>
    <row r="27" spans="1:99" ht="15.75" customHeight="1" thickBot="1" x14ac:dyDescent="0.3">
      <c r="A27" s="82" t="s">
        <v>194</v>
      </c>
      <c r="B27" s="64" t="s">
        <v>128</v>
      </c>
      <c r="C27" s="335" t="s">
        <v>198</v>
      </c>
      <c r="D27" s="64" t="s">
        <v>199</v>
      </c>
      <c r="E27" s="64">
        <v>2</v>
      </c>
      <c r="F27" s="65">
        <v>3.97</v>
      </c>
      <c r="G27" s="310">
        <v>44391</v>
      </c>
      <c r="H27" s="345">
        <v>3.33</v>
      </c>
      <c r="I27" s="345">
        <v>4.66</v>
      </c>
      <c r="J27" s="348">
        <v>44417</v>
      </c>
      <c r="K27" s="66">
        <f t="shared" si="0"/>
        <v>-0.16120906801007562</v>
      </c>
      <c r="L27" s="66">
        <f t="shared" si="1"/>
        <v>0.17380352644836261</v>
      </c>
      <c r="M27" s="348">
        <v>44435</v>
      </c>
      <c r="N27" s="64"/>
      <c r="O27" s="289">
        <v>4079391</v>
      </c>
      <c r="P27" s="289">
        <v>3200000</v>
      </c>
      <c r="Q27" s="289">
        <v>26</v>
      </c>
      <c r="R27" s="64" t="s">
        <v>131</v>
      </c>
      <c r="S27" s="64" t="s">
        <v>148</v>
      </c>
      <c r="T27" s="64" t="s">
        <v>200</v>
      </c>
      <c r="U27" s="67">
        <v>316</v>
      </c>
      <c r="V27" s="67">
        <v>460535</v>
      </c>
      <c r="W27" s="67"/>
      <c r="X27" s="67"/>
      <c r="Y27" s="68"/>
      <c r="Z27" s="68"/>
      <c r="AA27" s="68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8"/>
      <c r="BL27" s="68"/>
      <c r="BM27" s="68"/>
      <c r="BN27" s="68"/>
      <c r="BO27" s="68"/>
      <c r="BP27" s="68"/>
      <c r="BQ27" s="67"/>
      <c r="BR27" s="68"/>
      <c r="BS27" s="68"/>
      <c r="BT27" s="67"/>
      <c r="BU27" s="67"/>
      <c r="BV27" s="67"/>
      <c r="BW27" s="68"/>
      <c r="BX27" s="68"/>
      <c r="BY27" s="67"/>
      <c r="BZ27" s="67"/>
      <c r="CA27" s="67"/>
      <c r="CB27" s="67"/>
      <c r="CC27" s="67"/>
      <c r="CD27" s="67"/>
      <c r="CE27" s="67"/>
      <c r="CF27" s="67"/>
      <c r="CG27" s="67"/>
      <c r="CH27" s="68"/>
      <c r="CI27" s="67"/>
      <c r="CJ27" s="68"/>
      <c r="CK27" s="67"/>
      <c r="CL27" s="68"/>
      <c r="CM27" s="67"/>
      <c r="CN27" s="67"/>
      <c r="CO27" s="67"/>
      <c r="CP27" s="67"/>
      <c r="CQ27" s="69"/>
      <c r="CR27" s="70"/>
      <c r="CS27" s="67"/>
      <c r="CT27" s="67"/>
      <c r="CU27" s="67"/>
    </row>
    <row r="28" spans="1:99" ht="15.75" customHeight="1" thickBot="1" x14ac:dyDescent="0.3">
      <c r="A28" s="62"/>
      <c r="B28" s="64" t="s">
        <v>128</v>
      </c>
      <c r="C28" s="335" t="s">
        <v>201</v>
      </c>
      <c r="D28" s="64" t="s">
        <v>202</v>
      </c>
      <c r="E28" s="64">
        <v>1</v>
      </c>
      <c r="F28" s="65">
        <v>14.9</v>
      </c>
      <c r="G28" s="310">
        <v>44390</v>
      </c>
      <c r="H28" s="345">
        <v>16.55</v>
      </c>
      <c r="I28" s="314">
        <v>17.07</v>
      </c>
      <c r="J28" s="310">
        <v>44400</v>
      </c>
      <c r="K28" s="66">
        <f t="shared" si="0"/>
        <v>0.11073825503355716</v>
      </c>
      <c r="L28" s="66">
        <f t="shared" si="1"/>
        <v>0.14563758389261738</v>
      </c>
      <c r="M28" s="348">
        <v>44435</v>
      </c>
      <c r="N28" s="64"/>
      <c r="O28" s="289">
        <v>38153690</v>
      </c>
      <c r="P28" s="289">
        <v>34120000</v>
      </c>
      <c r="Q28" s="289">
        <v>10</v>
      </c>
      <c r="R28" s="64" t="s">
        <v>131</v>
      </c>
      <c r="S28" s="64" t="s">
        <v>148</v>
      </c>
      <c r="T28" s="64" t="s">
        <v>154</v>
      </c>
      <c r="U28" s="67">
        <v>40</v>
      </c>
      <c r="V28" s="67">
        <v>809815</v>
      </c>
      <c r="W28" s="67"/>
      <c r="X28" s="67"/>
      <c r="Y28" s="68"/>
      <c r="Z28" s="68"/>
      <c r="AA28" s="68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8"/>
      <c r="BL28" s="68"/>
      <c r="BM28" s="68"/>
      <c r="BN28" s="68"/>
      <c r="BO28" s="68"/>
      <c r="BP28" s="68"/>
      <c r="BQ28" s="67"/>
      <c r="BR28" s="68"/>
      <c r="BS28" s="68"/>
      <c r="BT28" s="67"/>
      <c r="BU28" s="67"/>
      <c r="BV28" s="67"/>
      <c r="BW28" s="68"/>
      <c r="BX28" s="68"/>
      <c r="BY28" s="67"/>
      <c r="BZ28" s="67"/>
      <c r="CA28" s="67"/>
      <c r="CB28" s="67"/>
      <c r="CC28" s="67"/>
      <c r="CD28" s="67"/>
      <c r="CE28" s="67"/>
      <c r="CF28" s="67"/>
      <c r="CG28" s="67"/>
      <c r="CH28" s="68"/>
      <c r="CI28" s="67"/>
      <c r="CJ28" s="68"/>
      <c r="CK28" s="67"/>
      <c r="CL28" s="68"/>
      <c r="CM28" s="67"/>
      <c r="CN28" s="67"/>
      <c r="CO28" s="67"/>
      <c r="CP28" s="67"/>
      <c r="CQ28" s="69"/>
      <c r="CR28" s="70"/>
      <c r="CS28" s="67"/>
      <c r="CT28" s="67"/>
      <c r="CU28" s="67"/>
    </row>
    <row r="29" spans="1:99" ht="15.75" customHeight="1" thickBot="1" x14ac:dyDescent="0.3">
      <c r="A29" s="62"/>
      <c r="B29" s="64" t="s">
        <v>181</v>
      </c>
      <c r="C29" s="335" t="s">
        <v>203</v>
      </c>
      <c r="D29" s="64" t="s">
        <v>204</v>
      </c>
      <c r="E29" s="64">
        <v>1</v>
      </c>
      <c r="F29" s="65">
        <v>8.9999999999999998E-4</v>
      </c>
      <c r="G29" s="310">
        <v>44390</v>
      </c>
      <c r="H29" s="345">
        <v>4.0000000000000002E-4</v>
      </c>
      <c r="I29" s="345">
        <v>1.6999999999999999E-3</v>
      </c>
      <c r="J29" s="348">
        <v>44421</v>
      </c>
      <c r="K29" s="66">
        <f t="shared" si="0"/>
        <v>-0.55555555555555558</v>
      </c>
      <c r="L29" s="66">
        <f t="shared" si="1"/>
        <v>0.88888888888888884</v>
      </c>
      <c r="M29" s="348">
        <v>44435</v>
      </c>
      <c r="N29" s="64"/>
      <c r="O29" s="289">
        <v>2688214838</v>
      </c>
      <c r="P29" s="289"/>
      <c r="Q29" s="289">
        <v>31</v>
      </c>
      <c r="R29" s="64"/>
      <c r="S29" s="64" t="s">
        <v>192</v>
      </c>
      <c r="T29" s="64"/>
      <c r="U29" s="67">
        <v>0</v>
      </c>
      <c r="V29" s="67">
        <v>37559913</v>
      </c>
      <c r="W29" s="67"/>
      <c r="X29" s="67"/>
      <c r="Y29" s="68"/>
      <c r="Z29" s="68"/>
      <c r="AA29" s="68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8"/>
      <c r="BL29" s="68"/>
      <c r="BM29" s="68"/>
      <c r="BN29" s="68"/>
      <c r="BO29" s="68"/>
      <c r="BP29" s="68"/>
      <c r="BQ29" s="67"/>
      <c r="BR29" s="68"/>
      <c r="BS29" s="68"/>
      <c r="BT29" s="67"/>
      <c r="BU29" s="67"/>
      <c r="BV29" s="67"/>
      <c r="BW29" s="68"/>
      <c r="BX29" s="68"/>
      <c r="BY29" s="67"/>
      <c r="BZ29" s="67"/>
      <c r="CA29" s="67"/>
      <c r="CB29" s="67"/>
      <c r="CC29" s="67"/>
      <c r="CD29" s="67"/>
      <c r="CE29" s="67"/>
      <c r="CF29" s="67"/>
      <c r="CG29" s="67"/>
      <c r="CH29" s="68"/>
      <c r="CI29" s="67"/>
      <c r="CJ29" s="68"/>
      <c r="CK29" s="67"/>
      <c r="CL29" s="68"/>
      <c r="CM29" s="67"/>
      <c r="CN29" s="67"/>
      <c r="CO29" s="67"/>
      <c r="CP29" s="67"/>
      <c r="CQ29" s="69"/>
      <c r="CR29" s="70"/>
      <c r="CS29" s="67"/>
      <c r="CT29" s="67"/>
      <c r="CU29" s="67"/>
    </row>
    <row r="30" spans="1:99" ht="15.75" customHeight="1" thickBot="1" x14ac:dyDescent="0.3">
      <c r="A30" s="299" t="s">
        <v>205</v>
      </c>
      <c r="B30" s="64" t="s">
        <v>128</v>
      </c>
      <c r="C30" s="335" t="s">
        <v>206</v>
      </c>
      <c r="D30" s="64" t="s">
        <v>207</v>
      </c>
      <c r="E30" s="64">
        <v>1</v>
      </c>
      <c r="F30" s="65">
        <v>4.18</v>
      </c>
      <c r="G30" s="310">
        <v>44389</v>
      </c>
      <c r="H30" s="345">
        <v>4.2</v>
      </c>
      <c r="I30" s="345">
        <v>5.2999000000000001</v>
      </c>
      <c r="J30" s="348">
        <v>44419</v>
      </c>
      <c r="K30" s="66">
        <f t="shared" si="0"/>
        <v>4.784688995215447E-3</v>
      </c>
      <c r="L30" s="66">
        <f t="shared" si="1"/>
        <v>0.26791866028708133</v>
      </c>
      <c r="M30" s="348">
        <v>44435</v>
      </c>
      <c r="N30" s="64"/>
      <c r="O30" s="289">
        <v>8726045</v>
      </c>
      <c r="P30" s="289">
        <v>3950000</v>
      </c>
      <c r="Q30" s="289">
        <v>30</v>
      </c>
      <c r="R30" s="64" t="s">
        <v>131</v>
      </c>
      <c r="S30" s="64" t="s">
        <v>148</v>
      </c>
      <c r="T30" s="64" t="s">
        <v>208</v>
      </c>
      <c r="U30" s="67">
        <v>168</v>
      </c>
      <c r="V30" s="67">
        <v>129820</v>
      </c>
      <c r="W30" s="67"/>
      <c r="X30" s="67"/>
      <c r="Y30" s="68"/>
      <c r="Z30" s="68"/>
      <c r="AA30" s="68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8"/>
      <c r="BL30" s="68"/>
      <c r="BM30" s="68"/>
      <c r="BN30" s="68"/>
      <c r="BO30" s="68"/>
      <c r="BP30" s="68"/>
      <c r="BQ30" s="67"/>
      <c r="BR30" s="68"/>
      <c r="BS30" s="68"/>
      <c r="BT30" s="67"/>
      <c r="BU30" s="67"/>
      <c r="BV30" s="67"/>
      <c r="BW30" s="68"/>
      <c r="BX30" s="68"/>
      <c r="BY30" s="67"/>
      <c r="BZ30" s="67"/>
      <c r="CA30" s="67"/>
      <c r="CB30" s="67"/>
      <c r="CC30" s="67"/>
      <c r="CD30" s="67"/>
      <c r="CE30" s="67"/>
      <c r="CF30" s="67"/>
      <c r="CG30" s="67"/>
      <c r="CH30" s="68"/>
      <c r="CI30" s="67"/>
      <c r="CJ30" s="68"/>
      <c r="CK30" s="67"/>
      <c r="CL30" s="68"/>
      <c r="CM30" s="67"/>
      <c r="CN30" s="67"/>
      <c r="CO30" s="67"/>
      <c r="CP30" s="67"/>
      <c r="CQ30" s="69"/>
      <c r="CR30" s="70"/>
      <c r="CS30" s="67"/>
      <c r="CT30" s="67"/>
      <c r="CU30" s="67"/>
    </row>
    <row r="31" spans="1:99" ht="15.75" customHeight="1" thickBot="1" x14ac:dyDescent="0.3">
      <c r="A31" s="62"/>
      <c r="B31" s="63" t="s">
        <v>128</v>
      </c>
      <c r="C31" s="335" t="s">
        <v>209</v>
      </c>
      <c r="D31" s="64" t="s">
        <v>210</v>
      </c>
      <c r="E31" s="64">
        <v>1</v>
      </c>
      <c r="F31" s="65">
        <v>4.18</v>
      </c>
      <c r="G31" s="310">
        <v>44389</v>
      </c>
      <c r="H31" s="345">
        <v>3.47</v>
      </c>
      <c r="I31" s="314">
        <v>4.28</v>
      </c>
      <c r="J31" s="310">
        <v>44398</v>
      </c>
      <c r="K31" s="66">
        <f t="shared" si="0"/>
        <v>-0.16985645933014348</v>
      </c>
      <c r="L31" s="66">
        <f t="shared" si="1"/>
        <v>2.3923444976076791E-2</v>
      </c>
      <c r="M31" s="348">
        <v>44435</v>
      </c>
      <c r="N31" s="64"/>
      <c r="O31" s="289">
        <v>19168609</v>
      </c>
      <c r="P31" s="289">
        <v>7380000</v>
      </c>
      <c r="Q31" s="289">
        <v>9</v>
      </c>
      <c r="R31" s="64" t="s">
        <v>211</v>
      </c>
      <c r="S31" s="64" t="s">
        <v>135</v>
      </c>
      <c r="T31" s="64" t="s">
        <v>136</v>
      </c>
      <c r="U31" s="67">
        <v>188</v>
      </c>
      <c r="V31" s="67">
        <v>422259</v>
      </c>
      <c r="W31" s="67"/>
      <c r="X31" s="67"/>
      <c r="Y31" s="68"/>
      <c r="Z31" s="68"/>
      <c r="AA31" s="68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8"/>
      <c r="BL31" s="68"/>
      <c r="BM31" s="68"/>
      <c r="BN31" s="68"/>
      <c r="BO31" s="68"/>
      <c r="BP31" s="68"/>
      <c r="BQ31" s="67"/>
      <c r="BR31" s="68"/>
      <c r="BS31" s="68"/>
      <c r="BT31" s="67"/>
      <c r="BU31" s="67"/>
      <c r="BV31" s="67"/>
      <c r="BW31" s="68"/>
      <c r="BX31" s="68"/>
      <c r="BY31" s="67"/>
      <c r="BZ31" s="67"/>
      <c r="CA31" s="67"/>
      <c r="CB31" s="67"/>
      <c r="CC31" s="67"/>
      <c r="CD31" s="67"/>
      <c r="CE31" s="67"/>
      <c r="CF31" s="67"/>
      <c r="CG31" s="67"/>
      <c r="CH31" s="68"/>
      <c r="CI31" s="67"/>
      <c r="CJ31" s="68"/>
      <c r="CK31" s="67"/>
      <c r="CL31" s="68"/>
      <c r="CM31" s="67"/>
      <c r="CN31" s="67"/>
      <c r="CO31" s="67"/>
      <c r="CP31" s="67"/>
      <c r="CQ31" s="69"/>
      <c r="CR31" s="70"/>
      <c r="CS31" s="67"/>
      <c r="CT31" s="67"/>
      <c r="CU31" s="67"/>
    </row>
    <row r="32" spans="1:99" ht="15.75" customHeight="1" thickBot="1" x14ac:dyDescent="0.3">
      <c r="A32" s="62" t="s">
        <v>170</v>
      </c>
      <c r="B32" s="63" t="s">
        <v>128</v>
      </c>
      <c r="C32" s="335" t="s">
        <v>212</v>
      </c>
      <c r="D32" s="64" t="s">
        <v>213</v>
      </c>
      <c r="E32" s="64">
        <v>1</v>
      </c>
      <c r="F32" s="65">
        <v>4.7</v>
      </c>
      <c r="G32" s="310">
        <v>44389</v>
      </c>
      <c r="H32" s="345">
        <v>3.45</v>
      </c>
      <c r="I32" s="314">
        <v>4.79</v>
      </c>
      <c r="J32" s="310">
        <v>44391</v>
      </c>
      <c r="K32" s="66">
        <f t="shared" si="0"/>
        <v>-0.26595744680851063</v>
      </c>
      <c r="L32" s="66">
        <f t="shared" si="1"/>
        <v>1.9148936170212627E-2</v>
      </c>
      <c r="M32" s="348">
        <v>44435</v>
      </c>
      <c r="N32" s="64"/>
      <c r="O32" s="289">
        <v>8688000</v>
      </c>
      <c r="P32" s="289">
        <v>1670000</v>
      </c>
      <c r="Q32" s="289">
        <v>2</v>
      </c>
      <c r="R32" s="64" t="s">
        <v>131</v>
      </c>
      <c r="S32" s="64" t="s">
        <v>132</v>
      </c>
      <c r="T32" s="64" t="s">
        <v>214</v>
      </c>
      <c r="U32" s="67">
        <v>48</v>
      </c>
      <c r="V32" s="67">
        <v>314210</v>
      </c>
      <c r="W32" s="67"/>
      <c r="X32" s="67"/>
      <c r="Y32" s="68"/>
      <c r="Z32" s="68"/>
      <c r="AA32" s="68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8"/>
      <c r="BL32" s="68"/>
      <c r="BM32" s="68"/>
      <c r="BN32" s="68"/>
      <c r="BO32" s="68"/>
      <c r="BP32" s="68"/>
      <c r="BQ32" s="67"/>
      <c r="BR32" s="68"/>
      <c r="BS32" s="68"/>
      <c r="BT32" s="67"/>
      <c r="BU32" s="67"/>
      <c r="BV32" s="67"/>
      <c r="BW32" s="68"/>
      <c r="BX32" s="68"/>
      <c r="BY32" s="67"/>
      <c r="BZ32" s="67"/>
      <c r="CA32" s="67"/>
      <c r="CB32" s="67"/>
      <c r="CC32" s="67"/>
      <c r="CD32" s="67"/>
      <c r="CE32" s="67"/>
      <c r="CF32" s="67"/>
      <c r="CG32" s="67"/>
      <c r="CH32" s="68"/>
      <c r="CI32" s="67"/>
      <c r="CJ32" s="68"/>
      <c r="CK32" s="67"/>
      <c r="CL32" s="68"/>
      <c r="CM32" s="67"/>
      <c r="CN32" s="67"/>
      <c r="CO32" s="67"/>
      <c r="CP32" s="67"/>
      <c r="CQ32" s="69"/>
      <c r="CR32" s="70"/>
      <c r="CS32" s="67"/>
      <c r="CT32" s="67"/>
      <c r="CU32" s="67"/>
    </row>
    <row r="33" spans="1:99" ht="15.75" customHeight="1" thickBot="1" x14ac:dyDescent="0.3">
      <c r="A33" s="62"/>
      <c r="B33" s="63" t="s">
        <v>128</v>
      </c>
      <c r="C33" s="335" t="s">
        <v>215</v>
      </c>
      <c r="D33" s="64" t="s">
        <v>216</v>
      </c>
      <c r="E33" s="64">
        <v>1</v>
      </c>
      <c r="F33" s="65">
        <v>11</v>
      </c>
      <c r="G33" s="310">
        <v>44386</v>
      </c>
      <c r="H33" s="345">
        <v>8.76</v>
      </c>
      <c r="I33" s="314">
        <v>12.99</v>
      </c>
      <c r="J33" s="310">
        <v>44390</v>
      </c>
      <c r="K33" s="66">
        <f t="shared" si="0"/>
        <v>-0.20363636363636362</v>
      </c>
      <c r="L33" s="66">
        <f t="shared" si="1"/>
        <v>0.18090909090909091</v>
      </c>
      <c r="M33" s="348">
        <v>44435</v>
      </c>
      <c r="N33" s="64"/>
      <c r="O33" s="289">
        <v>26861021</v>
      </c>
      <c r="P33" s="289">
        <v>7370000</v>
      </c>
      <c r="Q33" s="289">
        <v>4</v>
      </c>
      <c r="R33" s="64" t="s">
        <v>131</v>
      </c>
      <c r="S33" s="64" t="s">
        <v>153</v>
      </c>
      <c r="T33" s="64" t="s">
        <v>217</v>
      </c>
      <c r="U33" s="67">
        <v>44</v>
      </c>
      <c r="V33" s="67">
        <v>225544</v>
      </c>
      <c r="W33" s="67"/>
      <c r="X33" s="67"/>
      <c r="Y33" s="68"/>
      <c r="Z33" s="68"/>
      <c r="AA33" s="68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8"/>
      <c r="BL33" s="68"/>
      <c r="BM33" s="68"/>
      <c r="BN33" s="68"/>
      <c r="BO33" s="68"/>
      <c r="BP33" s="68"/>
      <c r="BQ33" s="67"/>
      <c r="BR33" s="68"/>
      <c r="BS33" s="68"/>
      <c r="BT33" s="67"/>
      <c r="BU33" s="67"/>
      <c r="BV33" s="67"/>
      <c r="BW33" s="68"/>
      <c r="BX33" s="68"/>
      <c r="BY33" s="67"/>
      <c r="BZ33" s="67"/>
      <c r="CA33" s="67"/>
      <c r="CB33" s="67"/>
      <c r="CC33" s="67"/>
      <c r="CD33" s="67"/>
      <c r="CE33" s="67"/>
      <c r="CF33" s="67"/>
      <c r="CG33" s="67"/>
      <c r="CH33" s="68"/>
      <c r="CI33" s="67"/>
      <c r="CJ33" s="68"/>
      <c r="CK33" s="67"/>
      <c r="CL33" s="68"/>
      <c r="CM33" s="67"/>
      <c r="CN33" s="67"/>
      <c r="CO33" s="67"/>
      <c r="CP33" s="67"/>
      <c r="CQ33" s="69"/>
      <c r="CR33" s="70"/>
      <c r="CS33" s="67"/>
      <c r="CT33" s="67"/>
      <c r="CU33" s="67"/>
    </row>
    <row r="34" spans="1:99" ht="15.75" customHeight="1" thickBot="1" x14ac:dyDescent="0.3">
      <c r="A34" s="62"/>
      <c r="B34" s="63" t="s">
        <v>128</v>
      </c>
      <c r="C34" s="335" t="s">
        <v>218</v>
      </c>
      <c r="D34" s="64" t="s">
        <v>219</v>
      </c>
      <c r="E34" s="64">
        <v>2</v>
      </c>
      <c r="F34" s="65">
        <v>1.05</v>
      </c>
      <c r="G34" s="310">
        <v>44385</v>
      </c>
      <c r="H34" s="345">
        <v>0.76939999999999997</v>
      </c>
      <c r="I34" s="314">
        <v>1.19</v>
      </c>
      <c r="J34" s="310">
        <v>44391</v>
      </c>
      <c r="K34" s="66">
        <f t="shared" si="0"/>
        <v>-0.26723809523809527</v>
      </c>
      <c r="L34" s="66">
        <f t="shared" si="1"/>
        <v>0.1333333333333333</v>
      </c>
      <c r="M34" s="348">
        <v>44435</v>
      </c>
      <c r="N34" s="64"/>
      <c r="O34" s="289">
        <v>90068356</v>
      </c>
      <c r="P34" s="289">
        <v>54830000</v>
      </c>
      <c r="Q34" s="289">
        <v>6</v>
      </c>
      <c r="R34" s="64" t="s">
        <v>131</v>
      </c>
      <c r="S34" s="64" t="s">
        <v>220</v>
      </c>
      <c r="T34" s="64" t="s">
        <v>221</v>
      </c>
      <c r="U34" s="67">
        <v>292</v>
      </c>
      <c r="V34" s="67">
        <v>2725380</v>
      </c>
      <c r="W34" s="67"/>
      <c r="X34" s="67"/>
      <c r="Y34" s="68"/>
      <c r="Z34" s="68"/>
      <c r="AA34" s="68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8"/>
      <c r="BL34" s="68"/>
      <c r="BM34" s="68"/>
      <c r="BN34" s="68"/>
      <c r="BO34" s="68"/>
      <c r="BP34" s="68"/>
      <c r="BQ34" s="67"/>
      <c r="BR34" s="68"/>
      <c r="BS34" s="68"/>
      <c r="BT34" s="67"/>
      <c r="BU34" s="67"/>
      <c r="BV34" s="67"/>
      <c r="BW34" s="68"/>
      <c r="BX34" s="68"/>
      <c r="BY34" s="67"/>
      <c r="BZ34" s="67"/>
      <c r="CA34" s="67"/>
      <c r="CB34" s="67"/>
      <c r="CC34" s="67"/>
      <c r="CD34" s="67"/>
      <c r="CE34" s="67"/>
      <c r="CF34" s="67"/>
      <c r="CG34" s="67"/>
      <c r="CH34" s="68"/>
      <c r="CI34" s="67"/>
      <c r="CJ34" s="68"/>
      <c r="CK34" s="67"/>
      <c r="CL34" s="68"/>
      <c r="CM34" s="67"/>
      <c r="CN34" s="67"/>
      <c r="CO34" s="67"/>
      <c r="CP34" s="67"/>
      <c r="CQ34" s="69"/>
      <c r="CR34" s="70"/>
      <c r="CS34" s="67"/>
      <c r="CT34" s="67"/>
      <c r="CU34" s="67"/>
    </row>
    <row r="35" spans="1:99" ht="15.75" customHeight="1" thickBot="1" x14ac:dyDescent="0.3">
      <c r="A35" s="62"/>
      <c r="B35" s="63" t="s">
        <v>128</v>
      </c>
      <c r="C35" s="335" t="s">
        <v>222</v>
      </c>
      <c r="D35" s="64" t="s">
        <v>223</v>
      </c>
      <c r="E35" s="64">
        <v>1</v>
      </c>
      <c r="F35" s="65">
        <v>16.16</v>
      </c>
      <c r="G35" s="310">
        <v>44385</v>
      </c>
      <c r="H35" s="345">
        <v>17.39</v>
      </c>
      <c r="I35" s="65">
        <v>20</v>
      </c>
      <c r="J35" s="310">
        <v>44386</v>
      </c>
      <c r="K35" s="66">
        <f t="shared" si="0"/>
        <v>7.6113861386138737E-2</v>
      </c>
      <c r="L35" s="66">
        <f t="shared" si="1"/>
        <v>0.23762376237623761</v>
      </c>
      <c r="M35" s="348">
        <v>44435</v>
      </c>
      <c r="N35" s="64"/>
      <c r="O35" s="289">
        <v>59083706</v>
      </c>
      <c r="P35" s="289">
        <v>45290000</v>
      </c>
      <c r="Q35" s="289"/>
      <c r="R35" s="64" t="s">
        <v>131</v>
      </c>
      <c r="S35" s="64" t="s">
        <v>148</v>
      </c>
      <c r="T35" s="64" t="s">
        <v>154</v>
      </c>
      <c r="U35" s="67">
        <v>1224</v>
      </c>
      <c r="V35" s="67">
        <v>899773</v>
      </c>
      <c r="W35" s="67"/>
      <c r="X35" s="67"/>
      <c r="Y35" s="68"/>
      <c r="Z35" s="68"/>
      <c r="AA35" s="68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8"/>
      <c r="BL35" s="68"/>
      <c r="BM35" s="68"/>
      <c r="BN35" s="68"/>
      <c r="BO35" s="68"/>
      <c r="BP35" s="68"/>
      <c r="BQ35" s="67"/>
      <c r="BR35" s="68"/>
      <c r="BS35" s="68"/>
      <c r="BT35" s="67"/>
      <c r="BU35" s="67"/>
      <c r="BV35" s="67"/>
      <c r="BW35" s="68"/>
      <c r="BX35" s="68"/>
      <c r="BY35" s="67"/>
      <c r="BZ35" s="67"/>
      <c r="CA35" s="67"/>
      <c r="CB35" s="67"/>
      <c r="CC35" s="67"/>
      <c r="CD35" s="67"/>
      <c r="CE35" s="67"/>
      <c r="CF35" s="67"/>
      <c r="CG35" s="67"/>
      <c r="CH35" s="68"/>
      <c r="CI35" s="67"/>
      <c r="CJ35" s="68"/>
      <c r="CK35" s="67"/>
      <c r="CL35" s="68"/>
      <c r="CM35" s="67"/>
      <c r="CN35" s="67"/>
      <c r="CO35" s="67"/>
      <c r="CP35" s="67"/>
      <c r="CQ35" s="69"/>
      <c r="CR35" s="70"/>
      <c r="CS35" s="67"/>
      <c r="CT35" s="67"/>
      <c r="CU35" s="67"/>
    </row>
    <row r="36" spans="1:99" ht="15.75" customHeight="1" thickBot="1" x14ac:dyDescent="0.3">
      <c r="A36" s="62"/>
      <c r="B36" s="63" t="s">
        <v>128</v>
      </c>
      <c r="C36" s="335" t="s">
        <v>224</v>
      </c>
      <c r="D36" s="64" t="s">
        <v>225</v>
      </c>
      <c r="E36" s="64">
        <v>1</v>
      </c>
      <c r="F36" s="65">
        <v>5.61</v>
      </c>
      <c r="G36" s="310">
        <v>44384</v>
      </c>
      <c r="H36" s="345">
        <v>3.67</v>
      </c>
      <c r="I36" s="314">
        <v>7.98</v>
      </c>
      <c r="J36" s="310">
        <v>44404</v>
      </c>
      <c r="K36" s="66">
        <f t="shared" si="0"/>
        <v>-0.34581105169340465</v>
      </c>
      <c r="L36" s="66">
        <f t="shared" si="1"/>
        <v>0.42245989304812825</v>
      </c>
      <c r="M36" s="348">
        <v>44435</v>
      </c>
      <c r="N36" s="64"/>
      <c r="O36" s="289">
        <v>7114774</v>
      </c>
      <c r="P36" s="289">
        <v>2870000</v>
      </c>
      <c r="Q36" s="289">
        <v>20</v>
      </c>
      <c r="R36" s="64" t="s">
        <v>131</v>
      </c>
      <c r="S36" s="64" t="s">
        <v>148</v>
      </c>
      <c r="T36" s="64" t="s">
        <v>133</v>
      </c>
      <c r="U36" s="67">
        <v>200</v>
      </c>
      <c r="V36" s="67">
        <v>139083</v>
      </c>
      <c r="W36" s="67"/>
      <c r="X36" s="67"/>
      <c r="Y36" s="68"/>
      <c r="Z36" s="68"/>
      <c r="AA36" s="68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8"/>
      <c r="BL36" s="68"/>
      <c r="BM36" s="68"/>
      <c r="BN36" s="68"/>
      <c r="BO36" s="68"/>
      <c r="BP36" s="68"/>
      <c r="BQ36" s="67"/>
      <c r="BR36" s="68"/>
      <c r="BS36" s="68"/>
      <c r="BT36" s="67"/>
      <c r="BU36" s="67"/>
      <c r="BV36" s="67"/>
      <c r="BW36" s="68"/>
      <c r="BX36" s="68"/>
      <c r="BY36" s="67"/>
      <c r="BZ36" s="67"/>
      <c r="CA36" s="67"/>
      <c r="CB36" s="67"/>
      <c r="CC36" s="67"/>
      <c r="CD36" s="67"/>
      <c r="CE36" s="67"/>
      <c r="CF36" s="67"/>
      <c r="CG36" s="67"/>
      <c r="CH36" s="68"/>
      <c r="CI36" s="67"/>
      <c r="CJ36" s="68"/>
      <c r="CK36" s="67"/>
      <c r="CL36" s="68"/>
      <c r="CM36" s="67"/>
      <c r="CN36" s="67"/>
      <c r="CO36" s="67"/>
      <c r="CP36" s="67"/>
      <c r="CQ36" s="69"/>
      <c r="CR36" s="70"/>
      <c r="CS36" s="67"/>
      <c r="CT36" s="67"/>
      <c r="CU36" s="67"/>
    </row>
    <row r="37" spans="1:99" ht="15.75" customHeight="1" thickBot="1" x14ac:dyDescent="0.3">
      <c r="A37" s="62"/>
      <c r="B37" s="63" t="s">
        <v>128</v>
      </c>
      <c r="C37" s="335" t="s">
        <v>226</v>
      </c>
      <c r="D37" s="64" t="s">
        <v>227</v>
      </c>
      <c r="E37" s="64">
        <v>1</v>
      </c>
      <c r="F37" s="65">
        <v>2.2000000000000002</v>
      </c>
      <c r="G37" s="310">
        <v>44383</v>
      </c>
      <c r="H37" s="345">
        <v>2.17</v>
      </c>
      <c r="I37" s="65">
        <v>2.79</v>
      </c>
      <c r="J37" s="310">
        <v>44383</v>
      </c>
      <c r="K37" s="66">
        <f t="shared" si="0"/>
        <v>-1.363636363636378E-2</v>
      </c>
      <c r="L37" s="66">
        <f t="shared" si="1"/>
        <v>0.26818181818181808</v>
      </c>
      <c r="M37" s="348">
        <v>44435</v>
      </c>
      <c r="N37" s="64"/>
      <c r="O37" s="289">
        <v>12226577</v>
      </c>
      <c r="P37" s="289">
        <v>8970000</v>
      </c>
      <c r="Q37" s="289"/>
      <c r="R37" s="64" t="s">
        <v>131</v>
      </c>
      <c r="S37" s="64" t="s">
        <v>157</v>
      </c>
      <c r="T37" s="64" t="s">
        <v>133</v>
      </c>
      <c r="U37" s="67">
        <v>48</v>
      </c>
      <c r="V37" s="67">
        <v>1738231</v>
      </c>
      <c r="W37" s="67"/>
      <c r="X37" s="67"/>
      <c r="Y37" s="68"/>
      <c r="Z37" s="68"/>
      <c r="AA37" s="68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8"/>
      <c r="BL37" s="68"/>
      <c r="BM37" s="68"/>
      <c r="BN37" s="68"/>
      <c r="BO37" s="68"/>
      <c r="BP37" s="68"/>
      <c r="BQ37" s="67"/>
      <c r="BR37" s="68"/>
      <c r="BS37" s="68"/>
      <c r="BT37" s="67"/>
      <c r="BU37" s="67"/>
      <c r="BV37" s="67"/>
      <c r="BW37" s="68"/>
      <c r="BX37" s="68"/>
      <c r="BY37" s="67"/>
      <c r="BZ37" s="67"/>
      <c r="CA37" s="67"/>
      <c r="CB37" s="67"/>
      <c r="CC37" s="67"/>
      <c r="CD37" s="67"/>
      <c r="CE37" s="67"/>
      <c r="CF37" s="67"/>
      <c r="CG37" s="67"/>
      <c r="CH37" s="68"/>
      <c r="CI37" s="67"/>
      <c r="CJ37" s="68"/>
      <c r="CK37" s="67"/>
      <c r="CL37" s="68"/>
      <c r="CM37" s="67"/>
      <c r="CN37" s="67"/>
      <c r="CO37" s="67"/>
      <c r="CP37" s="67"/>
      <c r="CQ37" s="69"/>
      <c r="CR37" s="70"/>
      <c r="CS37" s="67"/>
      <c r="CT37" s="67"/>
      <c r="CU37" s="67"/>
    </row>
    <row r="38" spans="1:99" ht="15.75" customHeight="1" thickBot="1" x14ac:dyDescent="0.3">
      <c r="A38" s="62"/>
      <c r="B38" s="63" t="s">
        <v>128</v>
      </c>
      <c r="C38" s="335" t="s">
        <v>228</v>
      </c>
      <c r="D38" s="64" t="s">
        <v>229</v>
      </c>
      <c r="E38" s="64">
        <v>1</v>
      </c>
      <c r="F38" s="65">
        <v>3.84</v>
      </c>
      <c r="G38" s="310">
        <v>44383</v>
      </c>
      <c r="H38" s="345">
        <v>3.47</v>
      </c>
      <c r="I38" s="65">
        <v>4.6900000000000004</v>
      </c>
      <c r="J38" s="310">
        <v>44406</v>
      </c>
      <c r="K38" s="66">
        <f t="shared" si="0"/>
        <v>-9.635416666666663E-2</v>
      </c>
      <c r="L38" s="66">
        <f t="shared" si="1"/>
        <v>0.22135416666666674</v>
      </c>
      <c r="M38" s="348">
        <v>44435</v>
      </c>
      <c r="N38" s="64"/>
      <c r="O38" s="289">
        <v>10493598</v>
      </c>
      <c r="P38" s="289">
        <v>9600000</v>
      </c>
      <c r="Q38" s="289"/>
      <c r="R38" s="64" t="s">
        <v>131</v>
      </c>
      <c r="S38" s="64" t="s">
        <v>148</v>
      </c>
      <c r="T38" s="64" t="s">
        <v>136</v>
      </c>
      <c r="U38" s="67">
        <v>108</v>
      </c>
      <c r="V38" s="67">
        <v>55084</v>
      </c>
      <c r="W38" s="67"/>
      <c r="X38" s="67"/>
      <c r="Y38" s="68"/>
      <c r="Z38" s="68"/>
      <c r="AA38" s="68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8"/>
      <c r="BL38" s="68"/>
      <c r="BM38" s="68"/>
      <c r="BN38" s="68"/>
      <c r="BO38" s="68"/>
      <c r="BP38" s="68"/>
      <c r="BQ38" s="67"/>
      <c r="BR38" s="68"/>
      <c r="BS38" s="68"/>
      <c r="BT38" s="67"/>
      <c r="BU38" s="67"/>
      <c r="BV38" s="67"/>
      <c r="BW38" s="68"/>
      <c r="BX38" s="68"/>
      <c r="BY38" s="67"/>
      <c r="BZ38" s="67"/>
      <c r="CA38" s="67"/>
      <c r="CB38" s="67"/>
      <c r="CC38" s="67"/>
      <c r="CD38" s="67"/>
      <c r="CE38" s="67"/>
      <c r="CF38" s="67"/>
      <c r="CG38" s="67"/>
      <c r="CH38" s="68"/>
      <c r="CI38" s="67"/>
      <c r="CJ38" s="68"/>
      <c r="CK38" s="67"/>
      <c r="CL38" s="68"/>
      <c r="CM38" s="67"/>
      <c r="CN38" s="67"/>
      <c r="CO38" s="67"/>
      <c r="CP38" s="67"/>
      <c r="CQ38" s="69"/>
      <c r="CR38" s="70"/>
      <c r="CS38" s="67"/>
      <c r="CT38" s="67"/>
      <c r="CU38" s="67"/>
    </row>
    <row r="39" spans="1:99" ht="15.75" customHeight="1" thickBot="1" x14ac:dyDescent="0.3">
      <c r="A39" s="62"/>
      <c r="B39" s="63" t="s">
        <v>128</v>
      </c>
      <c r="C39" s="335" t="s">
        <v>230</v>
      </c>
      <c r="D39" s="64" t="s">
        <v>231</v>
      </c>
      <c r="E39" s="64">
        <v>1</v>
      </c>
      <c r="F39" s="65">
        <v>2.4900000000000002</v>
      </c>
      <c r="G39" s="310">
        <v>44383</v>
      </c>
      <c r="H39" s="345">
        <v>2.65</v>
      </c>
      <c r="I39" s="345">
        <v>2.83</v>
      </c>
      <c r="J39" s="348">
        <v>44435</v>
      </c>
      <c r="K39" s="66">
        <f t="shared" si="0"/>
        <v>6.425702811244971E-2</v>
      </c>
      <c r="L39" s="66">
        <f t="shared" si="1"/>
        <v>0.13654618473895574</v>
      </c>
      <c r="M39" s="348">
        <v>44435</v>
      </c>
      <c r="N39" s="64"/>
      <c r="O39" s="289">
        <v>67550974</v>
      </c>
      <c r="P39" s="289">
        <v>19330000</v>
      </c>
      <c r="Q39" s="289">
        <v>52</v>
      </c>
      <c r="R39" s="64" t="s">
        <v>152</v>
      </c>
      <c r="S39" s="64" t="s">
        <v>135</v>
      </c>
      <c r="T39" s="64" t="s">
        <v>232</v>
      </c>
      <c r="U39" s="67">
        <v>88</v>
      </c>
      <c r="V39" s="67">
        <v>26283</v>
      </c>
      <c r="W39" s="67"/>
      <c r="X39" s="67"/>
      <c r="Y39" s="68"/>
      <c r="Z39" s="68"/>
      <c r="AA39" s="68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8"/>
      <c r="BL39" s="68"/>
      <c r="BM39" s="68"/>
      <c r="BN39" s="68"/>
      <c r="BO39" s="68"/>
      <c r="BP39" s="68"/>
      <c r="BQ39" s="67"/>
      <c r="BR39" s="68"/>
      <c r="BS39" s="68"/>
      <c r="BT39" s="67"/>
      <c r="BU39" s="67"/>
      <c r="BV39" s="67"/>
      <c r="BW39" s="68"/>
      <c r="BX39" s="68"/>
      <c r="BY39" s="67"/>
      <c r="BZ39" s="67"/>
      <c r="CA39" s="67"/>
      <c r="CB39" s="67"/>
      <c r="CC39" s="67"/>
      <c r="CD39" s="67"/>
      <c r="CE39" s="67"/>
      <c r="CF39" s="67"/>
      <c r="CG39" s="67"/>
      <c r="CH39" s="68"/>
      <c r="CI39" s="67"/>
      <c r="CJ39" s="68"/>
      <c r="CK39" s="67"/>
      <c r="CL39" s="68"/>
      <c r="CM39" s="67"/>
      <c r="CN39" s="67"/>
      <c r="CO39" s="67"/>
      <c r="CP39" s="67"/>
      <c r="CQ39" s="69"/>
      <c r="CR39" s="70"/>
      <c r="CS39" s="67"/>
      <c r="CT39" s="67"/>
      <c r="CU39" s="67"/>
    </row>
    <row r="40" spans="1:99" ht="15.75" customHeight="1" thickBot="1" x14ac:dyDescent="0.3">
      <c r="A40" s="62"/>
      <c r="B40" s="63" t="s">
        <v>128</v>
      </c>
      <c r="C40" s="335" t="s">
        <v>233</v>
      </c>
      <c r="D40" s="64" t="s">
        <v>234</v>
      </c>
      <c r="E40" s="64">
        <v>1</v>
      </c>
      <c r="F40" s="65">
        <v>0.8</v>
      </c>
      <c r="G40" s="310">
        <v>44379</v>
      </c>
      <c r="H40" s="345">
        <v>0.62529999999999997</v>
      </c>
      <c r="I40" s="65">
        <v>1.01</v>
      </c>
      <c r="J40" s="310">
        <v>44403</v>
      </c>
      <c r="K40" s="66">
        <f t="shared" si="0"/>
        <v>-0.2183750000000001</v>
      </c>
      <c r="L40" s="66">
        <f t="shared" si="1"/>
        <v>0.26249999999999996</v>
      </c>
      <c r="M40" s="348">
        <v>44435</v>
      </c>
      <c r="N40" s="64"/>
      <c r="O40" s="289">
        <v>78575131</v>
      </c>
      <c r="P40" s="289">
        <v>77130000</v>
      </c>
      <c r="Q40" s="289"/>
      <c r="R40" s="64" t="s">
        <v>131</v>
      </c>
      <c r="S40" s="64" t="s">
        <v>148</v>
      </c>
      <c r="T40" s="64" t="s">
        <v>154</v>
      </c>
      <c r="U40" s="67">
        <v>64</v>
      </c>
      <c r="V40" s="67">
        <v>763174</v>
      </c>
      <c r="W40" s="67"/>
      <c r="X40" s="67"/>
      <c r="Y40" s="68"/>
      <c r="Z40" s="68"/>
      <c r="AA40" s="68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8"/>
      <c r="BL40" s="68"/>
      <c r="BM40" s="68"/>
      <c r="BN40" s="68"/>
      <c r="BO40" s="68"/>
      <c r="BP40" s="68"/>
      <c r="BQ40" s="67"/>
      <c r="BR40" s="68"/>
      <c r="BS40" s="68"/>
      <c r="BT40" s="67"/>
      <c r="BU40" s="67"/>
      <c r="BV40" s="67"/>
      <c r="BW40" s="68"/>
      <c r="BX40" s="68"/>
      <c r="BY40" s="67"/>
      <c r="BZ40" s="67"/>
      <c r="CA40" s="67"/>
      <c r="CB40" s="67"/>
      <c r="CC40" s="67"/>
      <c r="CD40" s="67"/>
      <c r="CE40" s="67"/>
      <c r="CF40" s="67"/>
      <c r="CG40" s="67"/>
      <c r="CH40" s="68"/>
      <c r="CI40" s="67"/>
      <c r="CJ40" s="68"/>
      <c r="CK40" s="67"/>
      <c r="CL40" s="68"/>
      <c r="CM40" s="67"/>
      <c r="CN40" s="67"/>
      <c r="CO40" s="67"/>
      <c r="CP40" s="67"/>
      <c r="CQ40" s="69"/>
      <c r="CR40" s="70"/>
      <c r="CS40" s="67"/>
      <c r="CT40" s="67"/>
      <c r="CU40" s="67"/>
    </row>
    <row r="41" spans="1:99" ht="15.75" customHeight="1" thickBot="1" x14ac:dyDescent="0.3">
      <c r="A41" s="299" t="s">
        <v>235</v>
      </c>
      <c r="B41" s="63" t="s">
        <v>128</v>
      </c>
      <c r="C41" s="335" t="s">
        <v>236</v>
      </c>
      <c r="D41" s="64" t="s">
        <v>237</v>
      </c>
      <c r="E41" s="64">
        <v>1</v>
      </c>
      <c r="F41" s="65">
        <v>2.2999999999999998</v>
      </c>
      <c r="G41" s="310">
        <v>44379</v>
      </c>
      <c r="H41" s="345">
        <v>2.0299999999999998</v>
      </c>
      <c r="I41" s="314">
        <v>2.42</v>
      </c>
      <c r="J41" s="310">
        <v>44383</v>
      </c>
      <c r="K41" s="66">
        <f t="shared" si="0"/>
        <v>-0.11739130434782608</v>
      </c>
      <c r="L41" s="66">
        <f t="shared" si="1"/>
        <v>5.2173913043478404E-2</v>
      </c>
      <c r="M41" s="348">
        <v>44435</v>
      </c>
      <c r="N41" s="64"/>
      <c r="O41" s="289">
        <v>71531070</v>
      </c>
      <c r="P41" s="289">
        <v>40060000</v>
      </c>
      <c r="Q41" s="289">
        <v>4</v>
      </c>
      <c r="R41" s="64" t="s">
        <v>131</v>
      </c>
      <c r="S41" s="64" t="s">
        <v>148</v>
      </c>
      <c r="T41" s="64" t="s">
        <v>238</v>
      </c>
      <c r="U41" s="67">
        <v>140</v>
      </c>
      <c r="V41" s="67">
        <v>661786</v>
      </c>
      <c r="W41" s="67"/>
      <c r="X41" s="67"/>
      <c r="Y41" s="68"/>
      <c r="Z41" s="68"/>
      <c r="AA41" s="68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8"/>
      <c r="BL41" s="68"/>
      <c r="BM41" s="68"/>
      <c r="BN41" s="68"/>
      <c r="BO41" s="68"/>
      <c r="BP41" s="68"/>
      <c r="BQ41" s="67"/>
      <c r="BR41" s="68"/>
      <c r="BS41" s="68"/>
      <c r="BT41" s="67"/>
      <c r="BU41" s="67"/>
      <c r="BV41" s="67"/>
      <c r="BW41" s="68"/>
      <c r="BX41" s="68"/>
      <c r="BY41" s="67"/>
      <c r="BZ41" s="67"/>
      <c r="CA41" s="67"/>
      <c r="CB41" s="67"/>
      <c r="CC41" s="67"/>
      <c r="CD41" s="67"/>
      <c r="CE41" s="67"/>
      <c r="CF41" s="67"/>
      <c r="CG41" s="67"/>
      <c r="CH41" s="68"/>
      <c r="CI41" s="67"/>
      <c r="CJ41" s="68"/>
      <c r="CK41" s="67"/>
      <c r="CL41" s="68"/>
      <c r="CM41" s="67"/>
      <c r="CN41" s="67"/>
      <c r="CO41" s="67"/>
      <c r="CP41" s="67"/>
      <c r="CQ41" s="69"/>
      <c r="CR41" s="70"/>
      <c r="CS41" s="67"/>
      <c r="CT41" s="67"/>
      <c r="CU41" s="67"/>
    </row>
    <row r="42" spans="1:99" ht="15.75" customHeight="1" thickBot="1" x14ac:dyDescent="0.3">
      <c r="A42" s="62" t="s">
        <v>239</v>
      </c>
      <c r="B42" s="63" t="s">
        <v>128</v>
      </c>
      <c r="C42" s="287" t="s">
        <v>240</v>
      </c>
      <c r="D42" s="64" t="s">
        <v>241</v>
      </c>
      <c r="E42" s="64">
        <v>1</v>
      </c>
      <c r="F42" s="85">
        <v>5.08</v>
      </c>
      <c r="G42" s="313">
        <v>44378</v>
      </c>
      <c r="H42" s="345">
        <v>3.36</v>
      </c>
      <c r="I42" s="65">
        <v>6.25</v>
      </c>
      <c r="J42" s="310">
        <v>44386</v>
      </c>
      <c r="K42" s="66">
        <f t="shared" si="0"/>
        <v>-0.3385826771653544</v>
      </c>
      <c r="L42" s="66">
        <f t="shared" si="1"/>
        <v>0.23031496062992129</v>
      </c>
      <c r="M42" s="348">
        <v>44435</v>
      </c>
      <c r="N42" s="64"/>
      <c r="O42" s="289">
        <v>10021568</v>
      </c>
      <c r="P42" s="289">
        <v>520000</v>
      </c>
      <c r="Q42" s="289"/>
      <c r="R42" s="64" t="s">
        <v>131</v>
      </c>
      <c r="S42" s="64" t="s">
        <v>148</v>
      </c>
      <c r="T42" s="64" t="s">
        <v>242</v>
      </c>
      <c r="U42" s="67">
        <v>2004</v>
      </c>
      <c r="V42" s="67">
        <v>1783139</v>
      </c>
      <c r="W42" s="67"/>
      <c r="X42" s="67"/>
      <c r="Y42" s="68"/>
      <c r="Z42" s="68"/>
      <c r="AA42" s="68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8"/>
      <c r="BL42" s="68"/>
      <c r="BM42" s="68"/>
      <c r="BN42" s="68"/>
      <c r="BO42" s="68"/>
      <c r="BP42" s="68"/>
      <c r="BQ42" s="67"/>
      <c r="BR42" s="68"/>
      <c r="BS42" s="68"/>
      <c r="BT42" s="67"/>
      <c r="BU42" s="67"/>
      <c r="BV42" s="67"/>
      <c r="BW42" s="68"/>
      <c r="BX42" s="68"/>
      <c r="BY42" s="67"/>
      <c r="BZ42" s="67"/>
      <c r="CA42" s="67"/>
      <c r="CB42" s="67"/>
      <c r="CC42" s="67"/>
      <c r="CD42" s="67"/>
      <c r="CE42" s="67"/>
      <c r="CF42" s="67"/>
      <c r="CG42" s="67"/>
      <c r="CH42" s="68"/>
      <c r="CI42" s="67"/>
      <c r="CJ42" s="68"/>
      <c r="CK42" s="67"/>
      <c r="CL42" s="68"/>
      <c r="CM42" s="67"/>
      <c r="CN42" s="67"/>
      <c r="CO42" s="67"/>
      <c r="CP42" s="67"/>
      <c r="CQ42" s="69"/>
      <c r="CR42" s="70"/>
      <c r="CS42" s="67"/>
      <c r="CT42" s="67"/>
      <c r="CU42" s="67"/>
    </row>
    <row r="43" spans="1:99" ht="15.75" customHeight="1" thickBot="1" x14ac:dyDescent="0.3">
      <c r="A43" s="82" t="s">
        <v>194</v>
      </c>
      <c r="B43" s="63" t="s">
        <v>128</v>
      </c>
      <c r="C43" s="335" t="s">
        <v>243</v>
      </c>
      <c r="D43" s="64" t="s">
        <v>244</v>
      </c>
      <c r="E43" s="64">
        <v>1</v>
      </c>
      <c r="F43" s="65">
        <v>4.33</v>
      </c>
      <c r="G43" s="310">
        <v>44378</v>
      </c>
      <c r="H43" s="345">
        <v>3.51</v>
      </c>
      <c r="I43" s="345">
        <v>4.4400000000000004</v>
      </c>
      <c r="J43" s="348">
        <v>44427</v>
      </c>
      <c r="K43" s="66">
        <f t="shared" si="0"/>
        <v>-0.18937644341801396</v>
      </c>
      <c r="L43" s="66">
        <f t="shared" si="1"/>
        <v>2.5404157043879882E-2</v>
      </c>
      <c r="M43" s="348">
        <v>44435</v>
      </c>
      <c r="N43" s="64"/>
      <c r="O43" s="289">
        <v>13402562</v>
      </c>
      <c r="P43" s="289">
        <v>13400000</v>
      </c>
      <c r="Q43" s="289">
        <v>49</v>
      </c>
      <c r="R43" s="64" t="s">
        <v>131</v>
      </c>
      <c r="S43" s="64" t="s">
        <v>153</v>
      </c>
      <c r="T43" s="64" t="s">
        <v>217</v>
      </c>
      <c r="U43" s="67">
        <v>240</v>
      </c>
      <c r="V43" s="67">
        <v>791622</v>
      </c>
      <c r="W43" s="67"/>
      <c r="X43" s="67"/>
      <c r="Y43" s="68"/>
      <c r="Z43" s="68"/>
      <c r="AA43" s="68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8"/>
      <c r="BL43" s="68"/>
      <c r="BM43" s="68"/>
      <c r="BN43" s="68"/>
      <c r="BO43" s="68"/>
      <c r="BP43" s="68"/>
      <c r="BQ43" s="67"/>
      <c r="BR43" s="68"/>
      <c r="BS43" s="68"/>
      <c r="BT43" s="67"/>
      <c r="BU43" s="67"/>
      <c r="BV43" s="67"/>
      <c r="BW43" s="68"/>
      <c r="BX43" s="68"/>
      <c r="BY43" s="67"/>
      <c r="BZ43" s="67"/>
      <c r="CA43" s="67"/>
      <c r="CB43" s="67"/>
      <c r="CC43" s="67"/>
      <c r="CD43" s="67"/>
      <c r="CE43" s="67"/>
      <c r="CF43" s="67"/>
      <c r="CG43" s="67"/>
      <c r="CH43" s="68"/>
      <c r="CI43" s="67"/>
      <c r="CJ43" s="68"/>
      <c r="CK43" s="67"/>
      <c r="CL43" s="68"/>
      <c r="CM43" s="67"/>
      <c r="CN43" s="67"/>
      <c r="CO43" s="67"/>
      <c r="CP43" s="67"/>
      <c r="CQ43" s="69"/>
      <c r="CR43" s="70"/>
      <c r="CS43" s="67"/>
      <c r="CT43" s="67"/>
      <c r="CU43" s="67"/>
    </row>
    <row r="44" spans="1:99" ht="15.75" customHeight="1" thickBot="1" x14ac:dyDescent="0.3">
      <c r="A44" s="71"/>
      <c r="B44" s="63" t="s">
        <v>128</v>
      </c>
      <c r="C44" s="72" t="s">
        <v>245</v>
      </c>
      <c r="D44" s="73" t="s">
        <v>246</v>
      </c>
      <c r="E44" s="73">
        <v>1</v>
      </c>
      <c r="F44" s="74">
        <v>3.09</v>
      </c>
      <c r="G44" s="311">
        <v>44377</v>
      </c>
      <c r="H44" s="346">
        <v>2.66</v>
      </c>
      <c r="I44" s="315">
        <v>4.95</v>
      </c>
      <c r="J44" s="311">
        <v>44392</v>
      </c>
      <c r="K44" s="75">
        <f t="shared" si="0"/>
        <v>-0.13915857605177984</v>
      </c>
      <c r="L44" s="75">
        <f t="shared" si="1"/>
        <v>0.60194174757281571</v>
      </c>
      <c r="M44" s="349">
        <v>44435</v>
      </c>
      <c r="N44" s="73"/>
      <c r="O44" s="290">
        <v>31652045</v>
      </c>
      <c r="P44" s="290">
        <v>8740000</v>
      </c>
      <c r="Q44" s="290">
        <v>1</v>
      </c>
      <c r="R44" s="73" t="s">
        <v>152</v>
      </c>
      <c r="S44" s="73" t="s">
        <v>132</v>
      </c>
      <c r="T44" s="73" t="s">
        <v>214</v>
      </c>
      <c r="U44" s="73">
        <v>16</v>
      </c>
      <c r="V44" s="73">
        <v>72304</v>
      </c>
      <c r="W44" s="73"/>
      <c r="X44" s="73">
        <v>3.08</v>
      </c>
      <c r="Y44" s="73">
        <v>2.5799335000000001</v>
      </c>
      <c r="Z44" s="73">
        <v>3.7898000000000001</v>
      </c>
      <c r="AA44" s="73">
        <v>3.0046000000000008</v>
      </c>
      <c r="AB44" s="73">
        <v>3.0916000000000001</v>
      </c>
      <c r="AC44" s="73">
        <v>3.109500000000001</v>
      </c>
      <c r="AD44" s="73">
        <v>3.035714285714286</v>
      </c>
      <c r="AE44" s="73">
        <v>2.9999999999999978</v>
      </c>
      <c r="AF44" s="73">
        <f>IF($Z$3="yes", 0.0160583953348833/$X44, 0.0160583953348833)</f>
        <v>5.2137647191179545E-3</v>
      </c>
      <c r="AG44" s="73">
        <f>IF($Z$3="yes", -0.0296501650165017/$X44, -0.0296501650165017)</f>
        <v>-9.6266769534096418E-3</v>
      </c>
      <c r="AH44" s="73">
        <f>IF($Z$3="yes", 0.00315246098439375/$X44, 0.00315246098439375)</f>
        <v>1.0235262936343344E-3</v>
      </c>
      <c r="AI44" s="73">
        <f>IF($Z$3="yes", -0.00604369747899148/$X44, -0.00604369747899148)</f>
        <v>-1.9622394412309998E-3</v>
      </c>
      <c r="AJ44" s="73">
        <f>IF($Z$3="yes", -0.0187293233082705/$X44, -0.0187293233082705)</f>
        <v>-6.0809491260618498E-3</v>
      </c>
      <c r="AK44" s="73">
        <f>IF($Z$3="yes", -0.009538461538461/$X44, -0.009538461538461)</f>
        <v>-3.0969030969029217E-3</v>
      </c>
      <c r="AL44" s="73">
        <f>IF($Z$3="yes", 0.0195238095238124/$X44, 0.0195238095238124)</f>
        <v>6.3388991960429868E-3</v>
      </c>
      <c r="AM44" s="73">
        <f>IF($Z$3="yes", 1.20986649999999/$X44, 1.20986649999999)</f>
        <v>0.39281379870129546</v>
      </c>
      <c r="AN44" s="73">
        <f>IF($Z$3="yes", 0.4246665/$X44, 0.4246665)</f>
        <v>0.13787873376623377</v>
      </c>
      <c r="AO44" s="73">
        <f>IF($Z$3="yes", 0.5116665/$X44, 0.5116665)</f>
        <v>0.16612548701298702</v>
      </c>
      <c r="AP44" s="73">
        <f>IF($Z$3="yes", 0.5295665/$X44, 0.5295665)</f>
        <v>0.17193717532467534</v>
      </c>
      <c r="AQ44" s="73">
        <f>IF($Z$3="yes", 0.455780785714285/$X44, 0.455780785714285)</f>
        <v>0.14798077458256007</v>
      </c>
      <c r="AR44" s="73">
        <f>IF($Z$3="yes", 0.420066499999998/$X44, 0.420066499999998)</f>
        <v>0.13638522727272662</v>
      </c>
      <c r="AS44" s="73">
        <f>IF($Z$3="yes", 0.785199999999998/$X44, 0.785199999999998)</f>
        <v>0.25493506493506429</v>
      </c>
      <c r="AT44" s="73">
        <f>IF($Z$3="yes", 0.698199999999999/$X44, 0.698199999999999)</f>
        <v>0.22668831168831138</v>
      </c>
      <c r="AU44" s="73">
        <f>IF($Z$3="yes", 0.680299999999999/$X44, 0.680299999999999)</f>
        <v>0.22087662337662306</v>
      </c>
      <c r="AV44" s="73">
        <f>IF($Z$3="yes", 0.754085714285714/$X44, 0.754085714285714)</f>
        <v>0.24483302411873831</v>
      </c>
      <c r="AW44" s="73">
        <f>IF($Z$3="yes", 0.789800000000001/$X44, 0.789800000000001)</f>
        <v>0.25642857142857173</v>
      </c>
      <c r="AX44" s="73">
        <f>IF($Z$3="yes", 0.0869999999999993/$X44, 0.0869999999999993)</f>
        <v>2.824675324675302E-2</v>
      </c>
      <c r="AY44" s="73">
        <f>IF($Z$3="yes", 0.0179000000000004/$X44, 0.0179000000000004)</f>
        <v>5.8116883116884422E-3</v>
      </c>
      <c r="AZ44" s="73">
        <f>IF($Z$3="yes", 0.0558857142857145/$X44, 0.0558857142857145)</f>
        <v>1.8144712430426785E-2</v>
      </c>
      <c r="BA44" s="73">
        <f>IF($Z$3="yes", 0.0916000000000019/$X44, 0.0916000000000019)</f>
        <v>2.9740259740260358E-2</v>
      </c>
      <c r="BB44" s="73">
        <f>IF($Z$3="yes", 0.104899999999999/$X44, 0.104899999999999)</f>
        <v>3.4058441558441233E-2</v>
      </c>
      <c r="BC44" s="73">
        <f>IF($Z$3="yes", 0.0311142857142847/$X44, 0.0311142857142847)</f>
        <v>1.0102040816326201E-2</v>
      </c>
      <c r="BD44" s="73">
        <f>IF($Z$3="yes", 0.0046000000000026/$X44, 0.0046000000000026)</f>
        <v>1.4935064935073378E-3</v>
      </c>
      <c r="BE44" s="73">
        <f>IF($Z$3="yes", 0.073785714285715/$X44, 0.073785714285715)</f>
        <v>2.3956400742115257E-2</v>
      </c>
      <c r="BF44" s="73">
        <f>IF($Z$3="yes", 0.109500000000002/$X44, 0.109500000000002)</f>
        <v>3.5551948051948702E-2</v>
      </c>
      <c r="BG44" s="73">
        <f>IF($Z$3="yes", 0.0357142857142873/$X44, 0.0357142857142873)</f>
        <v>1.1595547309833538E-2</v>
      </c>
      <c r="BH44" s="73">
        <f>IF($Z$3="yes", 0.58439906122449/$X44, 0.58439906122449)</f>
        <v>0.18973995494301624</v>
      </c>
      <c r="BI44" s="73"/>
      <c r="BJ44" s="73"/>
      <c r="BK44" s="73">
        <f>IF($BL$3="yes", MAX(0, (72304 - 66146.2) / 27122.0227077554), 66146.2)</f>
        <v>66146.2</v>
      </c>
      <c r="BL44" s="73">
        <f>IF($BL$3="yes", MAX(0, (72304 - 71088.2) / 24903.3418994318), 71088.2)</f>
        <v>71088.2</v>
      </c>
      <c r="BM44" s="73">
        <f>IF($BL$3="yes", MAX(0, (72304 - 100896.65) / 132692.881156177), 100896.65)</f>
        <v>100896.65</v>
      </c>
      <c r="BN44" s="73">
        <f>IF($BL$3="yes", MAX(0, (72304 - 102477.04) / 107883.932875282), 102477.04)</f>
        <v>102477.04</v>
      </c>
      <c r="BO44" s="73">
        <f>IF($BL$3="yes", MAX(0, (72304 - 496973.89) / 914036.188155161), 496973.89)</f>
        <v>496973.89</v>
      </c>
      <c r="BP44" s="73">
        <f>IF($BL$3="yes", MAX(0, (72304 - 1952720.19) / 22297998.1063349), 1952720.19)</f>
        <v>1952720.19</v>
      </c>
      <c r="BQ44" s="73">
        <v>53.985563040938374</v>
      </c>
      <c r="BR44" s="73"/>
      <c r="BS44" s="73"/>
      <c r="BT44" s="73">
        <v>-503822.35748054727</v>
      </c>
      <c r="BU44" s="73">
        <v>2868.9603841835051</v>
      </c>
      <c r="BV44" s="73">
        <f>IF($Z$3="yes", 0.197257796697884/$X44, 0.197257796697884)</f>
        <v>6.4044739187624683E-2</v>
      </c>
      <c r="BW44" s="73">
        <f>IF($Z$3="yes", 0.277604410877112/$X44, 0.277604410877112)</f>
        <v>9.0131302232828572E-2</v>
      </c>
      <c r="BX44" s="73">
        <f>$BW$44 - $BV$44</f>
        <v>2.6086563045203889E-2</v>
      </c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6"/>
      <c r="CR44" s="76"/>
      <c r="CS44" s="73"/>
      <c r="CT44" s="73"/>
      <c r="CU44" s="73"/>
    </row>
    <row r="45" spans="1:99" ht="15.75" customHeight="1" thickBot="1" x14ac:dyDescent="0.3">
      <c r="A45" s="77"/>
      <c r="B45" s="67" t="s">
        <v>128</v>
      </c>
      <c r="C45" s="78" t="s">
        <v>247</v>
      </c>
      <c r="D45" s="68" t="s">
        <v>248</v>
      </c>
      <c r="E45" s="68">
        <v>3</v>
      </c>
      <c r="F45" s="79">
        <v>2.35</v>
      </c>
      <c r="G45" s="312">
        <v>44377</v>
      </c>
      <c r="H45" s="347">
        <v>3.12</v>
      </c>
      <c r="I45" s="347">
        <v>3.73</v>
      </c>
      <c r="J45" s="350">
        <v>44431</v>
      </c>
      <c r="K45" s="80">
        <f t="shared" si="0"/>
        <v>0.32765957446808502</v>
      </c>
      <c r="L45" s="80">
        <f t="shared" si="1"/>
        <v>0.58723404255319145</v>
      </c>
      <c r="M45" s="350">
        <v>44435</v>
      </c>
      <c r="N45" s="68"/>
      <c r="O45" s="291">
        <v>67424993</v>
      </c>
      <c r="P45" s="291">
        <v>18800000</v>
      </c>
      <c r="Q45" s="291">
        <v>54</v>
      </c>
      <c r="R45" s="68" t="s">
        <v>152</v>
      </c>
      <c r="S45" s="68" t="s">
        <v>192</v>
      </c>
      <c r="T45" s="68" t="s">
        <v>249</v>
      </c>
      <c r="U45" s="68">
        <v>180</v>
      </c>
      <c r="V45" s="68">
        <v>970476</v>
      </c>
      <c r="W45" s="68"/>
      <c r="X45" s="68">
        <v>2.35</v>
      </c>
      <c r="Y45" s="68">
        <v>3.164038000000001</v>
      </c>
      <c r="Z45" s="68">
        <v>2.8497999999999988</v>
      </c>
      <c r="AA45" s="68">
        <v>2.3490000000000002</v>
      </c>
      <c r="AB45" s="68">
        <v>2.4049999999999998</v>
      </c>
      <c r="AC45" s="68">
        <v>2.3294999999999999</v>
      </c>
      <c r="AD45" s="68">
        <v>2.289285714285715</v>
      </c>
      <c r="AE45" s="68">
        <v>2.2987499999999979</v>
      </c>
      <c r="AF45" s="68">
        <f>IF($Z$3="yes", -0.00259695327383189/$X45, -0.00259695327383189)</f>
        <v>-1.1050864995029318E-3</v>
      </c>
      <c r="AG45" s="68">
        <f>IF($Z$3="yes", -0.0194910291029102/$X45, -0.0194910291029102)</f>
        <v>-8.2940549374085955E-3</v>
      </c>
      <c r="AH45" s="68">
        <f>IF($Z$3="yes", -0.00199039615846338/$X45, -0.00199039615846338)</f>
        <v>-8.4697708870782131E-4</v>
      </c>
      <c r="AI45" s="68">
        <f>IF($Z$3="yes", -0.00491284513805505/$X45, -0.00491284513805505)</f>
        <v>-2.0905723991723616E-3</v>
      </c>
      <c r="AJ45" s="68">
        <f>IF($Z$3="yes", -0.0075864661654135/$X45, -0.0075864661654135)</f>
        <v>-3.2282834746440421E-3</v>
      </c>
      <c r="AK45" s="68">
        <f>IF($Z$3="yes", 0.00270329670329717/$X45, 0.00270329670329717)</f>
        <v>1.1503390226796468E-3</v>
      </c>
      <c r="AL45" s="68">
        <f>IF($Z$3="yes", 0.0191666666666702/$X45, 0.0191666666666702)</f>
        <v>8.1560283687958299E-3</v>
      </c>
      <c r="AM45" s="68">
        <f>IF($Z$3="yes", 0.314238000000001/$X45, 0.314238000000001)</f>
        <v>0.13371829787234085</v>
      </c>
      <c r="AN45" s="68">
        <f>IF($Z$3="yes", 0.815038/$X45, 0.815038)</f>
        <v>0.34682468085106383</v>
      </c>
      <c r="AO45" s="68">
        <f>IF($Z$3="yes", 0.759038/$X45, 0.759038)</f>
        <v>0.32299489361702127</v>
      </c>
      <c r="AP45" s="68">
        <f>IF($Z$3="yes", 0.834538/$X45, 0.834538)</f>
        <v>0.35512255319148933</v>
      </c>
      <c r="AQ45" s="68">
        <f>IF($Z$3="yes", 0.874752285714286/$X45, 0.874752285714286)</f>
        <v>0.37223501519756846</v>
      </c>
      <c r="AR45" s="68">
        <f>IF($Z$3="yes", 0.865288000000002/$X45, 0.865288000000002)</f>
        <v>0.36820765957446894</v>
      </c>
      <c r="AS45" s="68">
        <f>IF($Z$3="yes", 0.500799999999999/$X45, 0.500799999999999)</f>
        <v>0.21310638297872297</v>
      </c>
      <c r="AT45" s="68">
        <f>IF($Z$3="yes", 0.444799999999999/$X45, 0.444799999999999)</f>
        <v>0.18927659574468042</v>
      </c>
      <c r="AU45" s="68">
        <f>IF($Z$3="yes", 0.520299999999999/$X45, 0.520299999999999)</f>
        <v>0.22140425531914851</v>
      </c>
      <c r="AV45" s="68">
        <f>IF($Z$3="yes", 0.560514285714284/$X45, 0.560514285714284)</f>
        <v>0.23851671732522722</v>
      </c>
      <c r="AW45" s="68">
        <f>IF($Z$3="yes", 0.55105/$X45, 0.55105)</f>
        <v>0.23448936170212767</v>
      </c>
      <c r="AX45" s="68">
        <f>IF($Z$3="yes", 0.056/$X45, 0.056)</f>
        <v>2.3829787234042554E-2</v>
      </c>
      <c r="AY45" s="68">
        <f>IF($Z$3="yes", 0.0755000000000003/$X45, 0.0755000000000003)</f>
        <v>3.2127659574468212E-2</v>
      </c>
      <c r="AZ45" s="68">
        <f>IF($Z$3="yes", 0.115714285714285/$X45, 0.115714285714285)</f>
        <v>4.924012158054681E-2</v>
      </c>
      <c r="BA45" s="68">
        <f>IF($Z$3="yes", 0.106250000000001/$X45, 0.106250000000001)</f>
        <v>4.5212765957447228E-2</v>
      </c>
      <c r="BB45" s="68">
        <f>IF($Z$3="yes", 0.0195000000000002/$X45, 0.0195000000000002)</f>
        <v>8.2978723404256178E-3</v>
      </c>
      <c r="BC45" s="68">
        <f>IF($Z$3="yes", 0.0597142857142856/$X45, 0.0597142857142856)</f>
        <v>2.5410334346504509E-2</v>
      </c>
      <c r="BD45" s="68">
        <f>IF($Z$3="yes", 0.0502500000000019/$X45, 0.0502500000000019)</f>
        <v>2.1382978723405062E-2</v>
      </c>
      <c r="BE45" s="68">
        <f>IF($Z$3="yes", 0.0402142857142853/$X45, 0.0402142857142853)</f>
        <v>1.7112462006078851E-2</v>
      </c>
      <c r="BF45" s="68">
        <f>IF($Z$3="yes", 0.0307500000000016/$X45, 0.0307500000000016)</f>
        <v>1.3085106382979403E-2</v>
      </c>
      <c r="BG45" s="68">
        <f>IF($Z$3="yes", 0.0094642857142837/$X45, 0.0094642857142837)</f>
        <v>4.027355623099446E-3</v>
      </c>
      <c r="BH45" s="68">
        <f>IF($Z$3="yes", 0.526784448979591/$X45, 0.526784448979591)</f>
        <v>0.22416359531046423</v>
      </c>
      <c r="BI45" s="68"/>
      <c r="BJ45" s="68"/>
      <c r="BK45" s="68">
        <f>IF($BL$3="yes", MAX(0, (970476 - 758506) / 325717.61837211), 758506)</f>
        <v>758506</v>
      </c>
      <c r="BL45" s="68">
        <f>IF($BL$3="yes", MAX(0, (970476 - 639861.1) / 288046.53366234), 639861.1)</f>
        <v>639861.1</v>
      </c>
      <c r="BM45" s="68">
        <f>IF($BL$3="yes", MAX(0, (970476 - 688261.6) / 313280.739531238), 688261.6)</f>
        <v>688261.6</v>
      </c>
      <c r="BN45" s="68">
        <f>IF($BL$3="yes", MAX(0, (970476 - 726862.22) / 428685.894873404), 726862.22)</f>
        <v>726862.22</v>
      </c>
      <c r="BO45" s="68">
        <f>IF($BL$3="yes", MAX(0, (970476 - 2214955.97) / 3141142.1500236), 2214955.97)</f>
        <v>2214955.9700000002</v>
      </c>
      <c r="BP45" s="68">
        <f>IF($BL$3="yes", MAX(0, (970476 - 5391639.045) / 20931103.0796234), 5391639.045)</f>
        <v>5391639.0449999999</v>
      </c>
      <c r="BQ45" s="68">
        <v>50.238590765299698</v>
      </c>
      <c r="BR45" s="68"/>
      <c r="BS45" s="68"/>
      <c r="BT45" s="68">
        <v>-1050154.410950718</v>
      </c>
      <c r="BU45" s="68">
        <v>86309.004581831628</v>
      </c>
      <c r="BV45" s="68">
        <f>IF($Z$3="yes", 0.148633834635264/$X45, 0.148633834635264)</f>
        <v>6.3248440270325099E-2</v>
      </c>
      <c r="BW45" s="68">
        <f>IF($Z$3="yes", 0.207038032073117/$X45, 0.207038032073117)</f>
        <v>8.8101290243879568E-2</v>
      </c>
      <c r="BX45" s="68">
        <f>$BW$45 - $BV$45</f>
        <v>2.4852849973554469E-2</v>
      </c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81"/>
      <c r="CR45" s="81"/>
      <c r="CS45" s="68"/>
      <c r="CT45" s="68"/>
      <c r="CU45" s="68"/>
    </row>
    <row r="46" spans="1:99" ht="15.75" customHeight="1" thickBot="1" x14ac:dyDescent="0.3">
      <c r="A46" s="77"/>
      <c r="B46" s="67" t="s">
        <v>128</v>
      </c>
      <c r="C46" s="78" t="s">
        <v>250</v>
      </c>
      <c r="D46" s="68" t="s">
        <v>251</v>
      </c>
      <c r="E46" s="68">
        <v>1</v>
      </c>
      <c r="F46" s="79">
        <v>2.98</v>
      </c>
      <c r="G46" s="312">
        <v>44376</v>
      </c>
      <c r="H46" s="316">
        <v>2.58</v>
      </c>
      <c r="I46" s="316">
        <v>3.7298</v>
      </c>
      <c r="J46" s="312">
        <v>44377</v>
      </c>
      <c r="K46" s="80">
        <f t="shared" si="0"/>
        <v>-0.134228187919463</v>
      </c>
      <c r="L46" s="80">
        <f t="shared" si="1"/>
        <v>0.25161073825503366</v>
      </c>
      <c r="M46" s="312">
        <v>44407</v>
      </c>
      <c r="N46" s="68"/>
      <c r="O46" s="291">
        <v>6920053</v>
      </c>
      <c r="P46" s="291">
        <v>4540000</v>
      </c>
      <c r="Q46" s="291">
        <v>1</v>
      </c>
      <c r="R46" s="68" t="s">
        <v>131</v>
      </c>
      <c r="S46" s="68" t="s">
        <v>153</v>
      </c>
      <c r="T46" s="68" t="s">
        <v>252</v>
      </c>
      <c r="U46" s="68">
        <v>92</v>
      </c>
      <c r="V46" s="68">
        <v>941722</v>
      </c>
      <c r="W46" s="68"/>
      <c r="X46" s="68">
        <v>3.13</v>
      </c>
      <c r="Y46" s="68">
        <v>1.9159069999999989</v>
      </c>
      <c r="Z46" s="68">
        <v>2.6166499999999999</v>
      </c>
      <c r="AA46" s="68">
        <v>2.9207020000000008</v>
      </c>
      <c r="AB46" s="68">
        <v>2.8187020000000018</v>
      </c>
      <c r="AC46" s="68">
        <v>3.08725</v>
      </c>
      <c r="AD46" s="68">
        <v>2.9253571428571421</v>
      </c>
      <c r="AE46" s="68">
        <v>2.9187500000000002</v>
      </c>
      <c r="AF46" s="68">
        <f>IF($Z$3="yes", 0.0126852307807695/$X46, 0.0126852307807695)</f>
        <v>4.0527893868273161E-3</v>
      </c>
      <c r="AG46" s="68">
        <f>IF($Z$3="yes", 0.012211911191119/$X46, 0.012211911191119)</f>
        <v>3.9015690706450481E-3</v>
      </c>
      <c r="AH46" s="68">
        <f>IF($Z$3="yes", 0.0118162448979589/$X46, 0.0118162448979589)</f>
        <v>3.7751581143638658E-3</v>
      </c>
      <c r="AI46" s="68">
        <f>IF($Z$3="yes", 0.0211051764705879/$X46, 0.0211051764705879)</f>
        <v>6.7428678819769642E-3</v>
      </c>
      <c r="AJ46" s="68">
        <f>IF($Z$3="yes", -0.0313120300751877/$X46, -0.0313120300751877)</f>
        <v>-1.0003843474500864E-2</v>
      </c>
      <c r="AK46" s="68">
        <f>IF($Z$3="yes", 0.00271428571428642/$X46, 0.00271428571428642)</f>
        <v>8.6718393427681151E-4</v>
      </c>
      <c r="AL46" s="68">
        <f>IF($Z$3="yes", 0.0379761904761894/$X46, 0.0379761904761894)</f>
        <v>1.21329682032554E-2</v>
      </c>
      <c r="AM46" s="68">
        <f>IF($Z$3="yes", 0.700743000000001/$X46, 0.700743000000001)</f>
        <v>0.22387955271565527</v>
      </c>
      <c r="AN46" s="68">
        <f>IF($Z$3="yes", 1.004795/$X46, 1.004795)</f>
        <v>0.32102076677316299</v>
      </c>
      <c r="AO46" s="68">
        <f>IF($Z$3="yes", 0.902795000000002/$X46, 0.902795000000002)</f>
        <v>0.28843290734824345</v>
      </c>
      <c r="AP46" s="68">
        <f>IF($Z$3="yes", 1.171343/$X46, 1.171343)</f>
        <v>0.37423099041533547</v>
      </c>
      <c r="AQ46" s="68">
        <f>IF($Z$3="yes", 1.00945014285714/$X46, 1.00945014285714)</f>
        <v>0.3225080328617061</v>
      </c>
      <c r="AR46" s="68">
        <f>IF($Z$3="yes", 1.002843/$X46, 1.002843)</f>
        <v>0.32039712460063896</v>
      </c>
      <c r="AS46" s="68">
        <f>IF($Z$3="yes", 0.304052/$X46, 0.304052)</f>
        <v>9.7141214057507988E-2</v>
      </c>
      <c r="AT46" s="68">
        <f>IF($Z$3="yes", 0.202052000000001/$X46, 0.202052000000001)</f>
        <v>6.4553354632588184E-2</v>
      </c>
      <c r="AU46" s="68">
        <f>IF($Z$3="yes", 0.470599999999999/$X46, 0.470599999999999)</f>
        <v>0.15035143769968021</v>
      </c>
      <c r="AV46" s="68">
        <f>IF($Z$3="yes", 0.308707142857141/$X46, 0.308707142857141)</f>
        <v>9.8628480146051439E-2</v>
      </c>
      <c r="AW46" s="68">
        <f>IF($Z$3="yes", 0.302099999999999/$X46, 0.302099999999999)</f>
        <v>9.6517571884983708E-2</v>
      </c>
      <c r="AX46" s="68">
        <f>IF($Z$3="yes", 0.101999999999999/$X46, 0.101999999999999)</f>
        <v>3.2587859424919804E-2</v>
      </c>
      <c r="AY46" s="68">
        <f>IF($Z$3="yes", 0.268547999999998/$X46, 0.268547999999998)</f>
        <v>8.5798083067092024E-2</v>
      </c>
      <c r="AZ46" s="68">
        <f>IF($Z$3="yes", 0.106655142857139/$X46, 0.106655142857139)</f>
        <v>3.4075125513462937E-2</v>
      </c>
      <c r="BA46" s="68">
        <f>IF($Z$3="yes", 0.100047999999998/$X46, 0.100047999999998)</f>
        <v>3.1964217252395531E-2</v>
      </c>
      <c r="BB46" s="68">
        <f>IF($Z$3="yes", 0.166547999999998/$X46, 0.166547999999998)</f>
        <v>5.3210223642171886E-2</v>
      </c>
      <c r="BC46" s="68">
        <f>IF($Z$3="yes", 0.00465514285714041/$X46, 0.00465514285714041)</f>
        <v>1.487266088543262E-3</v>
      </c>
      <c r="BD46" s="68">
        <f>IF($Z$3="yes", 0.00195200000000106/$X46, 0.00195200000000106)</f>
        <v>6.2364217252430039E-4</v>
      </c>
      <c r="BE46" s="68">
        <f>IF($Z$3="yes", 0.161892857142858/$X46, 0.161892857142858)</f>
        <v>5.1722957553628754E-2</v>
      </c>
      <c r="BF46" s="68">
        <f>IF($Z$3="yes", 0.168499999999999/$X46, 0.168499999999999)</f>
        <v>5.3833865814696173E-2</v>
      </c>
      <c r="BG46" s="68">
        <f>IF($Z$3="yes", 0.00660714285714147/$X46, 0.00660714285714147)</f>
        <v>2.1109082610675624E-3</v>
      </c>
      <c r="BH46" s="68">
        <f>IF($Z$3="yes", 0.600259795918367/$X46, 0.600259795918367)</f>
        <v>0.19177629262567636</v>
      </c>
      <c r="BI46" s="68"/>
      <c r="BJ46" s="68"/>
      <c r="BK46" s="68">
        <f>IF($BL$3="yes", MAX(0, (941722 - 506716.6) / 423636.144150425), 506716.6)</f>
        <v>506716.6</v>
      </c>
      <c r="BL46" s="68">
        <f>IF($BL$3="yes", MAX(0, (941722 - 412999.5) / 338450.208517959), 412999.5)</f>
        <v>412999.5</v>
      </c>
      <c r="BM46" s="68">
        <f>IF($BL$3="yes", MAX(0, (941722 - 766846.1) / 724475.779036255), 766846.1)</f>
        <v>766846.1</v>
      </c>
      <c r="BN46" s="68">
        <f>IF($BL$3="yes", MAX(0, (941722 - 2564981.68) / 6490351.73502736), 2564981.68)</f>
        <v>2564981.6800000002</v>
      </c>
      <c r="BO46" s="68">
        <f>IF($BL$3="yes", MAX(0, (941722 - 3714075.93) / 19919322.7554317), 3714075.93)</f>
        <v>3714075.93</v>
      </c>
      <c r="BP46" s="68">
        <f>IF($BL$3="yes", MAX(0, (941722 - 1929292.105) / 14199362.452174), 1929292.105)</f>
        <v>1929292.105</v>
      </c>
      <c r="BQ46" s="68">
        <v>55.063749281495511</v>
      </c>
      <c r="BR46" s="68"/>
      <c r="BS46" s="68"/>
      <c r="BT46" s="68">
        <v>267682.38119037409</v>
      </c>
      <c r="BU46" s="68">
        <v>242790.32013732809</v>
      </c>
      <c r="BV46" s="68">
        <f>IF($Z$3="yes", 0.274743152629481/$X46, 0.274743152629481)</f>
        <v>8.7777365057342183E-2</v>
      </c>
      <c r="BW46" s="68">
        <f>IF($Z$3="yes", 0.438594422328579/$X46, 0.438594422328579)</f>
        <v>0.14012601352350768</v>
      </c>
      <c r="BX46" s="68">
        <f>$BW$46 - $BV$46</f>
        <v>5.2348648466165493E-2</v>
      </c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81"/>
      <c r="CR46" s="81"/>
      <c r="CS46" s="68"/>
      <c r="CT46" s="68"/>
      <c r="CU46" s="68"/>
    </row>
    <row r="47" spans="1:99" ht="15.75" customHeight="1" thickBot="1" x14ac:dyDescent="0.3">
      <c r="A47" s="82" t="s">
        <v>194</v>
      </c>
      <c r="B47" s="67" t="s">
        <v>128</v>
      </c>
      <c r="C47" s="78" t="s">
        <v>253</v>
      </c>
      <c r="D47" s="68" t="s">
        <v>254</v>
      </c>
      <c r="E47" s="68">
        <v>1</v>
      </c>
      <c r="F47" s="79">
        <v>1.48</v>
      </c>
      <c r="G47" s="312">
        <v>44376</v>
      </c>
      <c r="H47" s="316">
        <v>1.1000000000000001</v>
      </c>
      <c r="I47" s="316">
        <v>1.73</v>
      </c>
      <c r="J47" s="312">
        <v>44377</v>
      </c>
      <c r="K47" s="80">
        <f t="shared" si="0"/>
        <v>-0.25675675675675669</v>
      </c>
      <c r="L47" s="80">
        <f t="shared" si="1"/>
        <v>0.16891891891891886</v>
      </c>
      <c r="M47" s="312">
        <v>44407</v>
      </c>
      <c r="N47" s="68"/>
      <c r="O47" s="291">
        <v>71662933</v>
      </c>
      <c r="P47" s="291">
        <v>63200000</v>
      </c>
      <c r="Q47" s="291">
        <v>1</v>
      </c>
      <c r="R47" s="68" t="s">
        <v>131</v>
      </c>
      <c r="S47" s="68" t="s">
        <v>135</v>
      </c>
      <c r="T47" s="68" t="s">
        <v>133</v>
      </c>
      <c r="U47" s="68">
        <v>628</v>
      </c>
      <c r="V47" s="68">
        <v>15414223</v>
      </c>
      <c r="W47" s="68"/>
      <c r="X47" s="68">
        <v>1.56</v>
      </c>
      <c r="Y47" s="68">
        <v>1.3471379999999991</v>
      </c>
      <c r="Z47" s="68">
        <v>1.6919500000000021</v>
      </c>
      <c r="AA47" s="68">
        <v>1.3997999999999999</v>
      </c>
      <c r="AB47" s="68">
        <v>1.4800999999999991</v>
      </c>
      <c r="AC47" s="68">
        <v>1.387</v>
      </c>
      <c r="AD47" s="68">
        <v>1.3642857142857141</v>
      </c>
      <c r="AE47" s="68">
        <v>1.351249999999999</v>
      </c>
      <c r="AF47" s="68">
        <f>IF($Z$3="yes", 0.00483994764869127/$X47, 0.00483994764869127)</f>
        <v>3.1025305440328652E-3</v>
      </c>
      <c r="AG47" s="68">
        <f>IF($Z$3="yes", -0.0115568856885689/$X47, -0.0115568856885689)</f>
        <v>-7.4082600567749353E-3</v>
      </c>
      <c r="AH47" s="68">
        <f>IF($Z$3="yes", -0.00304681872749094/$X47, -0.00304681872749094)</f>
        <v>-1.9530889278788076E-3</v>
      </c>
      <c r="AI47" s="68">
        <f>IF($Z$3="yes", -0.00873349339735894/$X47, -0.00873349339735894)</f>
        <v>-5.5983932034352176E-3</v>
      </c>
      <c r="AJ47" s="68">
        <f>IF($Z$3="yes", -0.0043308270676692/$X47, -0.0043308270676692)</f>
        <v>-2.7761711972238458E-3</v>
      </c>
      <c r="AK47" s="68">
        <f>IF($Z$3="yes", 0.000703296703296634/$X47, 0.000703296703296634)</f>
        <v>4.5083122006194486E-4</v>
      </c>
      <c r="AL47" s="68">
        <f>IF($Z$3="yes", 0.0294047619047629/$X47, 0.0294047619047629)</f>
        <v>1.8849206349206987E-2</v>
      </c>
      <c r="AM47" s="68">
        <f>IF($Z$3="yes", 0.344812000000003/$X47, 0.344812000000003)</f>
        <v>0.22103333333333525</v>
      </c>
      <c r="AN47" s="68">
        <f>IF($Z$3="yes", 0.0526620000000011/$X47, 0.0526620000000011)</f>
        <v>3.3757692307693009E-2</v>
      </c>
      <c r="AO47" s="68">
        <f>IF($Z$3="yes", 0.132962/$X47, 0.132962)</f>
        <v>8.5232051282051274E-2</v>
      </c>
      <c r="AP47" s="68">
        <f>IF($Z$3="yes", 0.0398620000000016/$X47, 0.0398620000000016)</f>
        <v>2.5552564102565126E-2</v>
      </c>
      <c r="AQ47" s="68">
        <f>IF($Z$3="yes", 0.0171477142857154/$X47, 0.0171477142857154)</f>
        <v>1.0992124542125257E-2</v>
      </c>
      <c r="AR47" s="68">
        <f>IF($Z$3="yes", 0.00411200000000056/$X47, 0.00411200000000056)</f>
        <v>2.6358974358977947E-3</v>
      </c>
      <c r="AS47" s="68">
        <f>IF($Z$3="yes", 0.292150000000002/$X47, 0.292150000000002)</f>
        <v>0.18727564102564231</v>
      </c>
      <c r="AT47" s="68">
        <f>IF($Z$3="yes", 0.211850000000002/$X47, 0.211850000000002)</f>
        <v>0.13580128205128333</v>
      </c>
      <c r="AU47" s="68">
        <f>IF($Z$3="yes", 0.304950000000001/$X47, 0.304950000000001)</f>
        <v>0.19548076923076987</v>
      </c>
      <c r="AV47" s="68">
        <f>IF($Z$3="yes", 0.327664285714287/$X47, 0.327664285714287)</f>
        <v>0.21004120879120963</v>
      </c>
      <c r="AW47" s="68">
        <f>IF($Z$3="yes", 0.340700000000002/$X47, 0.340700000000002)</f>
        <v>0.21839743589743718</v>
      </c>
      <c r="AX47" s="68">
        <f>IF($Z$3="yes", 0.0802999999999993/$X47, 0.0802999999999993)</f>
        <v>5.1474358974358522E-2</v>
      </c>
      <c r="AY47" s="68">
        <f>IF($Z$3="yes", 0.0930999999999988/$X47, 0.0930999999999988)</f>
        <v>5.9679487179486408E-2</v>
      </c>
      <c r="AZ47" s="68">
        <f>IF($Z$3="yes", 0.115814285714284/$X47, 0.115814285714284)</f>
        <v>7.4239926739925632E-2</v>
      </c>
      <c r="BA47" s="68">
        <f>IF($Z$3="yes", 0.128849999999999/$X47, 0.128849999999999)</f>
        <v>8.2596153846153195E-2</v>
      </c>
      <c r="BB47" s="68">
        <f>IF($Z$3="yes", 0.0127999999999994/$X47, 0.0127999999999994)</f>
        <v>8.20512820512782E-3</v>
      </c>
      <c r="BC47" s="68">
        <f>IF($Z$3="yes", 0.0355142857142856/$X47, 0.0355142857142856)</f>
        <v>2.2765567765567693E-2</v>
      </c>
      <c r="BD47" s="68">
        <f>IF($Z$3="yes", 0.0485500000000005/$X47, 0.0485500000000005)</f>
        <v>3.1121794871795193E-2</v>
      </c>
      <c r="BE47" s="68">
        <f>IF($Z$3="yes", 0.0227142857142861/$X47, 0.0227142857142861)</f>
        <v>1.4560439560439807E-2</v>
      </c>
      <c r="BF47" s="68">
        <f>IF($Z$3="yes", 0.035750000000001/$X47, 0.035750000000001)</f>
        <v>2.291666666666731E-2</v>
      </c>
      <c r="BG47" s="68">
        <f>IF($Z$3="yes", 0.0130357142857149/$X47, 0.0130357142857149)</f>
        <v>8.3562271062274998E-3</v>
      </c>
      <c r="BH47" s="68">
        <f>IF($Z$3="yes", 0.236826775510204/$X47, 0.236826775510204)</f>
        <v>0.15181203558346409</v>
      </c>
      <c r="BI47" s="68"/>
      <c r="BJ47" s="68"/>
      <c r="BK47" s="68">
        <f>IF($BL$3="yes", MAX(0, (15414223 - 3975667.6) / 5721290.53246921), 3975667.6)</f>
        <v>3975667.6</v>
      </c>
      <c r="BL47" s="68">
        <f>IF($BL$3="yes", MAX(0, (15414223 - 2364431.6) / 4356384.31531808), 2364431.6)</f>
        <v>2364431.6</v>
      </c>
      <c r="BM47" s="68">
        <f>IF($BL$3="yes", MAX(0, (15414223 - 1895070) / 3131470.54438968), 1895070)</f>
        <v>1895070</v>
      </c>
      <c r="BN47" s="68">
        <f>IF($BL$3="yes", MAX(0, (15414223 - 2222349.52) / 3572203.28735901), 2222349.52)</f>
        <v>2222349.52</v>
      </c>
      <c r="BO47" s="68">
        <f>IF($BL$3="yes", MAX(0, (15414223 - 8174981.48) / 22753232.8710348), 8174981.48)</f>
        <v>8174981.4800000004</v>
      </c>
      <c r="BP47" s="68">
        <f>IF($BL$3="yes", MAX(0, (15414223 - 7879546.45) / 19766857.8346998), 7879546.45)</f>
        <v>7879546.4500000002</v>
      </c>
      <c r="BQ47" s="68">
        <v>63.844690590133922</v>
      </c>
      <c r="BR47" s="68"/>
      <c r="BS47" s="68"/>
      <c r="BT47" s="68">
        <v>14944391.993944621</v>
      </c>
      <c r="BU47" s="68">
        <v>3981573.1289447788</v>
      </c>
      <c r="BV47" s="68">
        <f>IF($Z$3="yes", 0.103937920320549/$X47, 0.103937920320549)</f>
        <v>6.6626872000351917E-2</v>
      </c>
      <c r="BW47" s="68">
        <f>IF($Z$3="yes", 0.146897989776926/$X47, 0.146897989776926)</f>
        <v>9.4165378062132044E-2</v>
      </c>
      <c r="BX47" s="68">
        <f>$BW$47 - $BV$47</f>
        <v>2.7538506061780127E-2</v>
      </c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81"/>
      <c r="CR47" s="81"/>
      <c r="CS47" s="68"/>
      <c r="CT47" s="68"/>
      <c r="CU47" s="68"/>
    </row>
    <row r="48" spans="1:99" ht="15.75" customHeight="1" thickBot="1" x14ac:dyDescent="0.3">
      <c r="A48" s="77"/>
      <c r="B48" s="67" t="s">
        <v>128</v>
      </c>
      <c r="C48" s="83" t="s">
        <v>255</v>
      </c>
      <c r="D48" s="68" t="s">
        <v>256</v>
      </c>
      <c r="E48" s="68">
        <v>1</v>
      </c>
      <c r="F48" s="79">
        <v>8.19</v>
      </c>
      <c r="G48" s="312">
        <v>44375</v>
      </c>
      <c r="H48" s="316">
        <v>3.99</v>
      </c>
      <c r="I48" s="316">
        <v>9</v>
      </c>
      <c r="J48" s="312">
        <v>44376</v>
      </c>
      <c r="K48" s="80">
        <f t="shared" si="0"/>
        <v>-0.51282051282051277</v>
      </c>
      <c r="L48" s="80">
        <f t="shared" si="1"/>
        <v>9.8901098901098994E-2</v>
      </c>
      <c r="M48" s="312">
        <v>44407</v>
      </c>
      <c r="N48" s="68"/>
      <c r="O48" s="291">
        <v>20000000</v>
      </c>
      <c r="P48" s="291">
        <v>7220000</v>
      </c>
      <c r="Q48" s="291">
        <v>1</v>
      </c>
      <c r="R48" s="68"/>
      <c r="S48" s="68" t="s">
        <v>192</v>
      </c>
      <c r="T48" s="68"/>
      <c r="U48" s="68">
        <v>464</v>
      </c>
      <c r="V48" s="68">
        <v>3667550</v>
      </c>
      <c r="W48" s="68"/>
      <c r="X48" s="68">
        <v>8.49</v>
      </c>
      <c r="Y48" s="68" t="e">
        <v>#N/A</v>
      </c>
      <c r="Z48" s="68" t="e">
        <v>#N/A</v>
      </c>
      <c r="AA48" s="68" t="e">
        <v>#N/A</v>
      </c>
      <c r="AB48" s="68" t="e">
        <v>#N/A</v>
      </c>
      <c r="AC48" s="68">
        <v>9.5325000000000006</v>
      </c>
      <c r="AD48" s="68">
        <v>8.5228571428571431</v>
      </c>
      <c r="AE48" s="68">
        <v>8.1487500000000033</v>
      </c>
      <c r="AF48" s="68" t="e">
        <f>IF($Z$3="yes", #N/A/$X48, #N/A)</f>
        <v>#N/A</v>
      </c>
      <c r="AG48" s="68" t="e">
        <f>IF($Z$3="yes", #N/A/$X48, #N/A)</f>
        <v>#N/A</v>
      </c>
      <c r="AH48" s="68" t="e">
        <f>IF($Z$3="yes", #N/A/$X48, #N/A)</f>
        <v>#N/A</v>
      </c>
      <c r="AI48" s="68" t="e">
        <f>IF($Z$3="yes", #N/A/$X48, #N/A)</f>
        <v>#N/A</v>
      </c>
      <c r="AJ48" s="68">
        <f>IF($Z$3="yes", -0.229872180451128/$X48, -0.229872180451128)</f>
        <v>-2.7075639629108129E-2</v>
      </c>
      <c r="AK48" s="68">
        <f>IF($Z$3="yes", -0.131032967032966/$X48, -0.131032967032966)</f>
        <v>-1.543380059281107E-2</v>
      </c>
      <c r="AL48" s="68">
        <f>IF($Z$3="yes", 0.0798809523809555/$X48, 0.0798809523809555)</f>
        <v>9.4088283134223186E-3</v>
      </c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>
        <f>IF($Z$3="yes", 1.00964285714285/$X48, 1.00964285714285)</f>
        <v>0.11892142015816842</v>
      </c>
      <c r="BF48" s="68">
        <f>IF($Z$3="yes", 1.38374999999999/$X48, 1.38374999999999)</f>
        <v>0.16298586572438045</v>
      </c>
      <c r="BG48" s="68">
        <f>IF($Z$3="yes", 0.374107142857139/$X48, 0.374107142857139)</f>
        <v>4.4064445566211891E-2</v>
      </c>
      <c r="BH48" s="68">
        <f>IF($Z$3="yes", 0.925671768707483/$X48, 0.925671768707483)</f>
        <v>0.10903083259216526</v>
      </c>
      <c r="BI48" s="68"/>
      <c r="BJ48" s="68"/>
      <c r="BK48" s="68">
        <f>IF($BL$3="yes", MAX(0, (3667550 - 1863735.4) / 1598095.40241521), 1863735.4)</f>
        <v>1863735.4</v>
      </c>
      <c r="BL48" s="68">
        <f>IF($BL$3="yes", MAX(0, (3667550 - 1129757.7) / 1350638.00279431), 1129757.7)</f>
        <v>1129757.7</v>
      </c>
      <c r="BM48" s="68">
        <f>IF($BL$3="yes", MAX(0, (3667550 - 1385511.15) / 1329969.75656186), 1385511.15)</f>
        <v>1385511.15</v>
      </c>
      <c r="BN48" s="68">
        <f>IF($BL$3="yes", MAX(0, (3667550 - 3016898.93103448) / 7588954.03003897), 3016898.93103448)</f>
        <v>3016898.9310344802</v>
      </c>
      <c r="BO48" s="68">
        <f>IF($BL$3="yes", MAX(0, (3667550 - 3016898.93103448) / 7588954.03003897), 3016898.93103448)</f>
        <v>3016898.9310344802</v>
      </c>
      <c r="BP48" s="68">
        <f>IF($BL$3="yes", MAX(0, (3667550 - 3016898.93103448) / 7588954.03003897), 3016898.93103448)</f>
        <v>3016898.9310344802</v>
      </c>
      <c r="BQ48" s="68">
        <v>47.888968269100928</v>
      </c>
      <c r="BR48" s="68"/>
      <c r="BS48" s="68"/>
      <c r="BT48" s="68">
        <v>-945372.4759207163</v>
      </c>
      <c r="BU48" s="68">
        <v>475745.15639428189</v>
      </c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81"/>
      <c r="CR48" s="81"/>
      <c r="CS48" s="68"/>
      <c r="CT48" s="68"/>
      <c r="CU48" s="68"/>
    </row>
    <row r="49" spans="1:99" ht="15.75" customHeight="1" thickBot="1" x14ac:dyDescent="0.3">
      <c r="A49" s="82" t="s">
        <v>194</v>
      </c>
      <c r="B49" s="67" t="s">
        <v>128</v>
      </c>
      <c r="C49" s="83" t="s">
        <v>257</v>
      </c>
      <c r="D49" s="68" t="s">
        <v>258</v>
      </c>
      <c r="E49" s="68">
        <v>1</v>
      </c>
      <c r="F49" s="79">
        <v>1.48</v>
      </c>
      <c r="G49" s="312">
        <v>44375</v>
      </c>
      <c r="H49" s="316">
        <v>2.63</v>
      </c>
      <c r="I49" s="79">
        <v>5.45</v>
      </c>
      <c r="J49" s="312">
        <v>44390</v>
      </c>
      <c r="K49" s="80">
        <f t="shared" si="0"/>
        <v>0.77702702702702697</v>
      </c>
      <c r="L49" s="80">
        <f t="shared" si="1"/>
        <v>2.6824324324324325</v>
      </c>
      <c r="M49" s="312">
        <v>44407</v>
      </c>
      <c r="N49" s="68"/>
      <c r="O49" s="291">
        <v>59192012</v>
      </c>
      <c r="P49" s="291">
        <v>35120000</v>
      </c>
      <c r="Q49" s="291"/>
      <c r="R49" s="68" t="s">
        <v>131</v>
      </c>
      <c r="S49" s="68" t="s">
        <v>135</v>
      </c>
      <c r="T49" s="68" t="s">
        <v>133</v>
      </c>
      <c r="U49" s="68">
        <v>632</v>
      </c>
      <c r="V49" s="68">
        <v>8047464</v>
      </c>
      <c r="W49" s="68"/>
      <c r="X49" s="68">
        <v>1.47</v>
      </c>
      <c r="Y49" s="68">
        <v>1.7500345000000019</v>
      </c>
      <c r="Z49" s="68">
        <v>2.0849999999999991</v>
      </c>
      <c r="AA49" s="68">
        <v>1.630299999999999</v>
      </c>
      <c r="AB49" s="68">
        <v>1.7748999999999979</v>
      </c>
      <c r="AC49" s="68">
        <v>1.4895</v>
      </c>
      <c r="AD49" s="68">
        <v>1.449285714285715</v>
      </c>
      <c r="AE49" s="68">
        <v>1.355</v>
      </c>
      <c r="AF49" s="68">
        <f>IF($Z$3="yes", 0.00435091539788488/$X49, 0.00435091539788488)</f>
        <v>2.9598063931189659E-3</v>
      </c>
      <c r="AG49" s="68">
        <f>IF($Z$3="yes", -0.0166001800180017/$X49, -0.0166001800180017)</f>
        <v>-1.1292639468028368E-2</v>
      </c>
      <c r="AH49" s="68">
        <f>IF($Z$3="yes", -0.0115123649459782/$X49, -0.0115123649459782)</f>
        <v>-7.8315407795770068E-3</v>
      </c>
      <c r="AI49" s="68">
        <f>IF($Z$3="yes", -0.0135114045618244/$X49, -0.0135114045618244)</f>
        <v>-9.1914316747104766E-3</v>
      </c>
      <c r="AJ49" s="68">
        <f>IF($Z$3="yes", -0.0174661654135339/$X49, -0.0174661654135339)</f>
        <v>-1.1881745179274763E-2</v>
      </c>
      <c r="AK49" s="68">
        <f>IF($Z$3="yes", -0.0251648351648354/$X49, -0.0251648351648354)</f>
        <v>-1.7118935486282585E-2</v>
      </c>
      <c r="AL49" s="68">
        <f>IF($Z$3="yes", 0.0140476190476198/$X49, 0.0140476190476198)</f>
        <v>9.5562034337549652E-3</v>
      </c>
      <c r="AM49" s="68">
        <f>IF($Z$3="yes", 0.334965499999996/$X49, 0.334965499999996)</f>
        <v>0.22786768707482719</v>
      </c>
      <c r="AN49" s="68">
        <f>IF($Z$3="yes", 0.119734500000002/$X49, 0.119734500000002)</f>
        <v>8.1452040816327897E-2</v>
      </c>
      <c r="AO49" s="68">
        <f>IF($Z$3="yes", 0.0248654999999959/$X49, 0.0248654999999959)</f>
        <v>1.691530612244619E-2</v>
      </c>
      <c r="AP49" s="68">
        <f>IF($Z$3="yes", 0.260534500000001/$X49, 0.260534500000001)</f>
        <v>0.17723435374149729</v>
      </c>
      <c r="AQ49" s="68">
        <f>IF($Z$3="yes", 0.300748785714287/$X49, 0.300748785714287)</f>
        <v>0.20459101068999114</v>
      </c>
      <c r="AR49" s="68">
        <f>IF($Z$3="yes", 0.395034500000002/$X49, 0.395034500000002)</f>
        <v>0.26873095238095374</v>
      </c>
      <c r="AS49" s="68">
        <f>IF($Z$3="yes", 0.454699999999999/$X49, 0.454699999999999)</f>
        <v>0.3093197278911558</v>
      </c>
      <c r="AT49" s="68">
        <f>IF($Z$3="yes", 0.3101/$X49, 0.3101)</f>
        <v>0.21095238095238095</v>
      </c>
      <c r="AU49" s="68">
        <f>IF($Z$3="yes", 0.595499999999998/$X49, 0.595499999999998)</f>
        <v>0.40510204081632517</v>
      </c>
      <c r="AV49" s="68">
        <f>IF($Z$3="yes", 0.635714285714283/$X49, 0.635714285714283)</f>
        <v>0.43245869776481838</v>
      </c>
      <c r="AW49" s="68">
        <f>IF($Z$3="yes", 0.729999999999999/$X49, 0.729999999999999)</f>
        <v>0.49659863945578164</v>
      </c>
      <c r="AX49" s="68">
        <f>IF($Z$3="yes", 0.144599999999998/$X49, 0.144599999999998)</f>
        <v>9.836734693877415E-2</v>
      </c>
      <c r="AY49" s="68">
        <f>IF($Z$3="yes", 0.285399999999997/$X49, 0.285399999999997)</f>
        <v>0.19414965986394353</v>
      </c>
      <c r="AZ49" s="68">
        <f>IF($Z$3="yes", 0.325614285714283/$X49, 0.325614285714283)</f>
        <v>0.22150631681243743</v>
      </c>
      <c r="BA49" s="68">
        <f>IF($Z$3="yes", 0.419899999999998/$X49, 0.419899999999998)</f>
        <v>0.28564625850340003</v>
      </c>
      <c r="BB49" s="68">
        <f>IF($Z$3="yes", 0.140799999999998/$X49, 0.140799999999998)</f>
        <v>9.5782312925168714E-2</v>
      </c>
      <c r="BC49" s="68">
        <f>IF($Z$3="yes", 0.181014285714284/$X49, 0.181014285714284)</f>
        <v>0.12313896987366257</v>
      </c>
      <c r="BD49" s="68">
        <f>IF($Z$3="yes", 0.275299999999999/$X49, 0.275299999999999)</f>
        <v>0.18727891156462517</v>
      </c>
      <c r="BE49" s="68">
        <f>IF($Z$3="yes", 0.0402142857142855/$X49, 0.0402142857142855)</f>
        <v>2.7356656948493537E-2</v>
      </c>
      <c r="BF49" s="68">
        <f>IF($Z$3="yes", 0.1345/$X49, 0.1345)</f>
        <v>9.1496598639455792E-2</v>
      </c>
      <c r="BG49" s="68">
        <f>IF($Z$3="yes", 0.0942857142857152/$X49, 0.0942857142857152)</f>
        <v>6.4139941690962723E-2</v>
      </c>
      <c r="BH49" s="68">
        <f>IF($Z$3="yes", 0.407291040816325/$X49, 0.407291040816325)</f>
        <v>0.27706873524920067</v>
      </c>
      <c r="BI49" s="68"/>
      <c r="BJ49" s="68"/>
      <c r="BK49" s="68">
        <f>IF($BL$3="yes", MAX(0, (8047464 - 4140751) / 2376677.41131227), 4140751)</f>
        <v>4140751</v>
      </c>
      <c r="BL49" s="68">
        <f>IF($BL$3="yes", MAX(0, (8047464 - 3797990.7) / 1765219.33887072), 3797990.7)</f>
        <v>3797990.7</v>
      </c>
      <c r="BM49" s="68">
        <f>IF($BL$3="yes", MAX(0, (8047464 - 5383888.3) / 4088090.92709748), 5383888.3)</f>
        <v>5383888.2999999998</v>
      </c>
      <c r="BN49" s="68">
        <f>IF($BL$3="yes", MAX(0, (8047464 - 2804237.32) / 3355176.96918412), 2804237.32)</f>
        <v>2804237.32</v>
      </c>
      <c r="BO49" s="68">
        <f>IF($BL$3="yes", MAX(0, (8047464 - 8602961.8) / 48497811.7899665), 8602961.8)</f>
        <v>8602961.8000000007</v>
      </c>
      <c r="BP49" s="68">
        <f>IF($BL$3="yes", MAX(0, (8047464 - 5917028.46) / 34958200.8885518), 5917028.46)</f>
        <v>5917028.46</v>
      </c>
      <c r="BQ49" s="68">
        <v>48.319096450633012</v>
      </c>
      <c r="BR49" s="68"/>
      <c r="BS49" s="68"/>
      <c r="BT49" s="68">
        <v>-38726704.663104951</v>
      </c>
      <c r="BU49" s="68">
        <v>939215.50485891104</v>
      </c>
      <c r="BV49" s="68">
        <f>IF($Z$3="yes", 0.136567814893127/$X49, 0.136567814893127)</f>
        <v>9.2903275437501362E-2</v>
      </c>
      <c r="BW49" s="68">
        <f>IF($Z$3="yes", 0.181885062885741/$X49, 0.181885062885741)</f>
        <v>0.12373133529642245</v>
      </c>
      <c r="BX49" s="68">
        <f>$BW$49 - $BV$49</f>
        <v>3.0828059858921092E-2</v>
      </c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81"/>
      <c r="CR49" s="81"/>
      <c r="CS49" s="68"/>
      <c r="CT49" s="68"/>
      <c r="CU49" s="68"/>
    </row>
    <row r="50" spans="1:99" ht="15.75" customHeight="1" thickBot="1" x14ac:dyDescent="0.3">
      <c r="A50" s="82"/>
      <c r="B50" s="67" t="s">
        <v>181</v>
      </c>
      <c r="C50" s="78" t="s">
        <v>259</v>
      </c>
      <c r="D50" s="68" t="s">
        <v>260</v>
      </c>
      <c r="E50" s="68">
        <v>1</v>
      </c>
      <c r="F50" s="79">
        <v>1.6999999999999999E-3</v>
      </c>
      <c r="G50" s="312">
        <v>44375</v>
      </c>
      <c r="H50" s="316">
        <v>2E-3</v>
      </c>
      <c r="I50" s="316">
        <v>3.0000000000000001E-3</v>
      </c>
      <c r="J50" s="312">
        <v>44376</v>
      </c>
      <c r="K50" s="80">
        <f t="shared" si="0"/>
        <v>0.17647058823529416</v>
      </c>
      <c r="L50" s="80">
        <f t="shared" si="1"/>
        <v>0.76470588235294135</v>
      </c>
      <c r="M50" s="312">
        <v>44407</v>
      </c>
      <c r="N50" s="68"/>
      <c r="O50" s="68">
        <v>6956116348</v>
      </c>
      <c r="P50" s="68"/>
      <c r="Q50" s="68">
        <v>1</v>
      </c>
      <c r="R50" s="68"/>
      <c r="S50" s="68" t="s">
        <v>148</v>
      </c>
      <c r="T50" s="68"/>
      <c r="U50" s="68">
        <v>156</v>
      </c>
      <c r="V50" s="68">
        <v>202338866</v>
      </c>
      <c r="W50" s="68"/>
      <c r="X50" s="68">
        <v>1.6999999999999999E-3</v>
      </c>
      <c r="Y50" s="68">
        <v>1.599500000000003E-3</v>
      </c>
      <c r="Z50" s="68">
        <v>2.9489999999999981E-3</v>
      </c>
      <c r="AA50" s="68">
        <v>2.125999999999999E-3</v>
      </c>
      <c r="AB50" s="68">
        <v>2.8040000000000009E-3</v>
      </c>
      <c r="AC50" s="68">
        <v>1.565E-3</v>
      </c>
      <c r="AD50" s="68">
        <v>1.5714285714285711E-3</v>
      </c>
      <c r="AE50" s="68">
        <v>1.5625000000000001E-3</v>
      </c>
      <c r="AF50" s="68">
        <f>IF($Z$3="yes", 0.0000179160729018224/$X50, 0.0000179160729018224)</f>
        <v>1.0538866412836705E-2</v>
      </c>
      <c r="AG50" s="68">
        <f>IF($Z$3="yes", -0.0000237473747374735/$X50, -0.0000237473747374735)</f>
        <v>-1.3969043963219706E-2</v>
      </c>
      <c r="AH50" s="68">
        <f>IF($Z$3="yes", -0.0000449123649459782/$X50, -0.0000449123649459782)</f>
        <v>-2.6419038203516591E-2</v>
      </c>
      <c r="AI50" s="68">
        <f>IF($Z$3="yes", -0.0000829675870348142/$X50, -0.0000829675870348142)</f>
        <v>-4.8804462961655415E-2</v>
      </c>
      <c r="AJ50" s="68">
        <f>IF($Z$3="yes", -1.12781954887222E-06/$X50, -1.12781954887222E-06)</f>
        <v>-6.6342326404248244E-4</v>
      </c>
      <c r="AK50" s="68">
        <f>IF($Z$3="yes", -3.51648351648396E-06/$X50, -3.51648351648396E-06)</f>
        <v>-2.0685197155788002E-3</v>
      </c>
      <c r="AL50" s="68">
        <f>IF($Z$3="yes", -8.33333333333307E-06/$X50, -8.33333333333307E-06)</f>
        <v>-4.9019607843135702E-3</v>
      </c>
      <c r="AM50" s="68">
        <f>IF($Z$3="yes", 0.00134949999999999/$X50, 0.00134949999999999)</f>
        <v>0.79382352941175893</v>
      </c>
      <c r="AN50" s="68">
        <f>IF($Z$3="yes", 0.000526499999999996/$X50, 0.000526499999999996)</f>
        <v>0.30970588235293889</v>
      </c>
      <c r="AO50" s="68">
        <f>IF($Z$3="yes", 0.00120449999999999/$X50, 0.00120449999999999)</f>
        <v>0.70852941176470008</v>
      </c>
      <c r="AP50" s="68">
        <f>IF($Z$3="yes", 0.0000345000000000024/$X50, 0.0000345000000000024)</f>
        <v>2.0294117647060236E-2</v>
      </c>
      <c r="AQ50" s="68">
        <f>IF($Z$3="yes", 0.0000280714285714311/$X50, 0.0000280714285714311)</f>
        <v>1.6512605042018295E-2</v>
      </c>
      <c r="AR50" s="68">
        <f>IF($Z$3="yes", 0.0000370000000000027/$X50, 0.0000370000000000027)</f>
        <v>2.1764705882354532E-2</v>
      </c>
      <c r="AS50" s="68">
        <f>IF($Z$3="yes", 0.000822999999999998/$X50, 0.000822999999999998)</f>
        <v>0.48411764705882238</v>
      </c>
      <c r="AT50" s="68">
        <f>IF($Z$3="yes", 0.000144999999999996/$X50, 0.000144999999999996)</f>
        <v>8.5294117647056467E-2</v>
      </c>
      <c r="AU50" s="68">
        <f>IF($Z$3="yes", 0.00138399999999999/$X50, 0.00138399999999999)</f>
        <v>0.81411764705881773</v>
      </c>
      <c r="AV50" s="68">
        <f>IF($Z$3="yes", 0.00137757142857142/$X50, 0.00137757142857142)</f>
        <v>0.8103361344537765</v>
      </c>
      <c r="AW50" s="68">
        <f>IF($Z$3="yes", 0.00138649999999999/$X50, 0.00138649999999999)</f>
        <v>0.81558823529411173</v>
      </c>
      <c r="AX50" s="68">
        <f>IF($Z$3="yes", 0.000678000000000002/$X50, 0.000678000000000002)</f>
        <v>0.39882352941176585</v>
      </c>
      <c r="AY50" s="68">
        <f>IF($Z$3="yes", 0.001239/$X50, 0.001239)</f>
        <v>0.72882352941176476</v>
      </c>
      <c r="AZ50" s="68">
        <f>IF($Z$3="yes", 0.00123257142857142/$X50, 0.00123257142857142)</f>
        <v>0.72504201680671765</v>
      </c>
      <c r="BA50" s="68">
        <f>IF($Z$3="yes", 0.0012415/$X50, 0.0012415)</f>
        <v>0.73029411764705887</v>
      </c>
      <c r="BB50" s="68">
        <f>IF($Z$3="yes", 0.000560999999999999/$X50, 0.000560999999999999)</f>
        <v>0.3299999999999994</v>
      </c>
      <c r="BC50" s="68">
        <f>IF($Z$3="yes", 0.000554571428571427/$X50, 0.000554571428571427)</f>
        <v>0.32621848739495707</v>
      </c>
      <c r="BD50" s="68">
        <f>IF($Z$3="yes", 0.000563499999999999/$X50, 0.000563499999999999)</f>
        <v>0.33147058823529357</v>
      </c>
      <c r="BE50" s="68">
        <f>IF($Z$3="yes", 6.42857142857129E-06/$X50, 6.42857142857129E-06)</f>
        <v>3.7815126050419353E-3</v>
      </c>
      <c r="BF50" s="68">
        <f>IF($Z$3="yes", 2.50000000000033E-06/$X50, 2.50000000000033E-06)</f>
        <v>1.4705882352943119E-3</v>
      </c>
      <c r="BG50" s="68">
        <f>IF($Z$3="yes", 8.92857142857162E-06/$X50, 8.92857142857162E-06)</f>
        <v>5.2521008403362476E-3</v>
      </c>
      <c r="BH50" s="68">
        <f>IF($Z$3="yes", 0.000744860544217686/$X50, 0.000744860544217686)</f>
        <v>0.4381532613045212</v>
      </c>
      <c r="BI50" s="68"/>
      <c r="BJ50" s="68"/>
      <c r="BK50" s="68">
        <f>IF($BL$3="yes", MAX(0, (202338866 - 108216082.2) / 60118916.575854), 108216082.2)</f>
        <v>108216082.2</v>
      </c>
      <c r="BL50" s="68">
        <f>IF($BL$3="yes", MAX(0, (202338866 - 82175816.6) / 53792297.9981411), 82175816.6)</f>
        <v>82175816.599999994</v>
      </c>
      <c r="BM50" s="68">
        <f>IF($BL$3="yes", MAX(0, (202338866 - 122485482.25) / 153124197.378818), 122485482.25)</f>
        <v>122485482.25</v>
      </c>
      <c r="BN50" s="68">
        <f>IF($BL$3="yes", MAX(0, (202338866 - 145972743.2) / 148024735.737886), 145972743.2)</f>
        <v>145972743.19999999</v>
      </c>
      <c r="BO50" s="68">
        <f>IF($BL$3="yes", MAX(0, (202338866 - 199657561.12) / 174497837.282596), 199657561.12)</f>
        <v>199657561.12</v>
      </c>
      <c r="BP50" s="68">
        <f>IF($BL$3="yes", MAX(0, (202338866 - 145919263.88) / 204275644.847381), 145919263.88)</f>
        <v>145919263.88</v>
      </c>
      <c r="BQ50" s="68">
        <v>52.266954353519282</v>
      </c>
      <c r="BR50" s="68"/>
      <c r="BS50" s="68"/>
      <c r="BT50" s="68">
        <v>-760748350.99999976</v>
      </c>
      <c r="BU50" s="68">
        <v>38117621.398593187</v>
      </c>
      <c r="BV50" s="68">
        <f>IF($Z$3="yes", 0.000343267036022805/$X50, 0.000343267036022805)</f>
        <v>0.20192178589576765</v>
      </c>
      <c r="BW50" s="68">
        <f>IF($Z$3="yes", 0.000695169584896528/$X50, 0.000695169584896528)</f>
        <v>0.40892328523325178</v>
      </c>
      <c r="BX50" s="68">
        <f>$BW$50 - $BV$50</f>
        <v>0.20700149933748413</v>
      </c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81"/>
      <c r="CR50" s="81"/>
      <c r="CS50" s="68"/>
      <c r="CT50" s="68"/>
      <c r="CU50" s="68"/>
    </row>
    <row r="51" spans="1:99" ht="15.75" customHeight="1" thickBot="1" x14ac:dyDescent="0.3">
      <c r="A51" s="84"/>
      <c r="B51" s="67" t="s">
        <v>128</v>
      </c>
      <c r="C51" s="83" t="s">
        <v>261</v>
      </c>
      <c r="D51" s="67" t="s">
        <v>262</v>
      </c>
      <c r="E51" s="67">
        <v>1</v>
      </c>
      <c r="F51" s="85">
        <v>3.01</v>
      </c>
      <c r="G51" s="313">
        <v>44371</v>
      </c>
      <c r="H51" s="317">
        <v>2.27</v>
      </c>
      <c r="I51" s="85">
        <v>3.05</v>
      </c>
      <c r="J51" s="313">
        <v>44372</v>
      </c>
      <c r="K51" s="86">
        <f t="shared" si="0"/>
        <v>-0.24584717607973416</v>
      </c>
      <c r="L51" s="87">
        <f t="shared" si="1"/>
        <v>1.3289036544850585E-2</v>
      </c>
      <c r="M51" s="312">
        <v>44407</v>
      </c>
      <c r="N51" s="68"/>
      <c r="O51" s="291">
        <v>10133345</v>
      </c>
      <c r="P51" s="291">
        <v>4740000</v>
      </c>
      <c r="Q51" s="291"/>
      <c r="R51" s="68" t="s">
        <v>131</v>
      </c>
      <c r="S51" s="68" t="s">
        <v>148</v>
      </c>
      <c r="T51" s="68" t="s">
        <v>154</v>
      </c>
      <c r="U51" s="68">
        <v>416</v>
      </c>
      <c r="V51" s="68">
        <v>1742220</v>
      </c>
      <c r="W51" s="68"/>
      <c r="X51" s="68">
        <v>3.05</v>
      </c>
      <c r="Y51" s="68" t="e">
        <v>#N/A</v>
      </c>
      <c r="Z51" s="68">
        <v>5.6934140000000024</v>
      </c>
      <c r="AA51" s="68">
        <v>4.923227999999999</v>
      </c>
      <c r="AB51" s="68">
        <v>5.3646100000000017</v>
      </c>
      <c r="AC51" s="68" t="e">
        <v>#N/A</v>
      </c>
      <c r="AD51" s="68">
        <v>4.1864928571428583</v>
      </c>
      <c r="AE51" s="68">
        <v>3.060624999999999</v>
      </c>
      <c r="AF51" s="68" t="e">
        <f>IF($Z$3="yes", #N/A/$X51, #N/A)</f>
        <v>#N/A</v>
      </c>
      <c r="AG51" s="68">
        <f>IF($Z$3="yes", -0.0337144914491453/$X51, -0.0337144914491453)</f>
        <v>-1.105393162267059E-2</v>
      </c>
      <c r="AH51" s="68">
        <f>IF($Z$3="yes", -0.0352033613445379/$X51, -0.0352033613445379)</f>
        <v>-1.1542085686733738E-2</v>
      </c>
      <c r="AI51" s="68">
        <f>IF($Z$3="yes", -0.00921670588235284/$X51, -0.00921670588235284)</f>
        <v>-3.0218707810992923E-3</v>
      </c>
      <c r="AJ51" s="68" t="e">
        <f t="shared" ref="AJ51:AJ58" si="2">IF($Z$3="yes", #N/A/$X51, #N/A)</f>
        <v>#N/A</v>
      </c>
      <c r="AK51" s="68">
        <f>IF($Z$3="yes", -0.299504395604394/$X51, -0.299504395604394)</f>
        <v>-9.8198162493243951E-2</v>
      </c>
      <c r="AL51" s="68">
        <f>IF($Z$3="yes", -0.0851785714285721/$X51, -0.0851785714285721)</f>
        <v>-2.7927400468384298E-2</v>
      </c>
      <c r="AM51" s="68"/>
      <c r="AN51" s="68"/>
      <c r="AO51" s="68"/>
      <c r="AP51" s="68"/>
      <c r="AQ51" s="68"/>
      <c r="AR51" s="68"/>
      <c r="AS51" s="68">
        <f>IF($Z$3="yes", 0.770186000000003/$X51, 0.770186000000003)</f>
        <v>0.25252000000000102</v>
      </c>
      <c r="AT51" s="68">
        <f>IF($Z$3="yes", 0.328804/$X51, 0.328804)</f>
        <v>0.10780459016393443</v>
      </c>
      <c r="AU51" s="88"/>
      <c r="AV51" s="88">
        <f>IF($Z$3="yes", 1.50692114285714/$X51, 1.50692114285714)</f>
        <v>0.49407250585480006</v>
      </c>
      <c r="AW51" s="88">
        <f>IF($Z$3="yes", 2.632789/$X51, 2.632789)</f>
        <v>0.86320950819672126</v>
      </c>
      <c r="AX51" s="88">
        <f>IF($Z$3="yes", 0.441382000000002/$X51, 0.441382000000002)</f>
        <v>0.14471540983606623</v>
      </c>
      <c r="AY51" s="88"/>
      <c r="AZ51" s="88">
        <f>IF($Z$3="yes", 1.17811714285714/$X51, 1.17811714285714)</f>
        <v>0.3862679156908656</v>
      </c>
      <c r="BA51" s="88">
        <f>IF($Z$3="yes", 2.303985/$X51, 2.303985)</f>
        <v>0.75540491803278687</v>
      </c>
      <c r="BB51" s="88"/>
      <c r="BC51" s="88">
        <f>IF($Z$3="yes", 0.73673514285714/$X51, 0.73673514285714)</f>
        <v>0.24155250585480004</v>
      </c>
      <c r="BD51" s="88">
        <f>IF($Z$3="yes", 1.86260299999999/$X51, 1.86260299999999)</f>
        <v>0.61068950819671808</v>
      </c>
      <c r="BE51" s="88"/>
      <c r="BF51" s="88"/>
      <c r="BG51" s="88">
        <f>IF($Z$3="yes", 1.12586785714285/$X51, 1.12586785714285)</f>
        <v>0.36913700234191804</v>
      </c>
      <c r="BH51" s="88">
        <f>IF($Z$3="yes", 0.958786102040817/$X51, 0.958786102040817)</f>
        <v>0.31435609902977613</v>
      </c>
      <c r="BI51" s="68"/>
      <c r="BJ51" s="68"/>
      <c r="BK51" s="68">
        <f>IF($BL$3="yes", MAX(0, (1742220 - 1503062.8) / 292668.592744353), 1503062.8)</f>
        <v>1503062.8</v>
      </c>
      <c r="BL51" s="68">
        <f>IF($BL$3="yes", MAX(0, (1742220 - 2088314.3) / 2524588.99856507), 2088314.3)</f>
        <v>2088314.3</v>
      </c>
      <c r="BM51" s="68">
        <f>IF($BL$3="yes", MAX(0, (1742220 - 1069123.5) / 2055678.37136772), 1069123.5)</f>
        <v>1069123.5</v>
      </c>
      <c r="BN51" s="68">
        <f>IF($BL$3="yes", MAX(0, (1742220 - 440109.62) / 1397956.89932084), 440109.62)</f>
        <v>440109.62</v>
      </c>
      <c r="BO51" s="68">
        <f>IF($BL$3="yes", MAX(0, (1742220 - 262734.14) / 1011322.23080417), 262734.14)</f>
        <v>262734.14</v>
      </c>
      <c r="BP51" s="68">
        <f>IF($BL$3="yes", MAX(0, (1742220 - 300634.404761904) / 990030.645826636), 300634.404761904)</f>
        <v>300634.40476190398</v>
      </c>
      <c r="BQ51" s="68">
        <v>23.720316853893191</v>
      </c>
      <c r="BR51" s="68"/>
      <c r="BS51" s="68"/>
      <c r="BT51" s="68">
        <v>-2112765.966011547</v>
      </c>
      <c r="BU51" s="68">
        <v>660631.63759458857</v>
      </c>
      <c r="BV51" s="68">
        <f>IF($Z$3="yes", 0.428624007060483/$X51, 0.428624007060483)</f>
        <v>0.1405324613313059</v>
      </c>
      <c r="BW51" s="68">
        <f>IF($Z$3="yes", 0.411193963861922/$X51, 0.411193963861922)</f>
        <v>0.13481769306948263</v>
      </c>
      <c r="BX51" s="68">
        <f>$BW$51 - $BV$51</f>
        <v>-5.7147682618232665E-3</v>
      </c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81"/>
      <c r="CR51" s="81"/>
      <c r="CS51" s="68"/>
      <c r="CT51" s="68"/>
      <c r="CU51" s="68"/>
    </row>
    <row r="52" spans="1:99" ht="15.75" customHeight="1" thickBot="1" x14ac:dyDescent="0.3">
      <c r="A52" s="82" t="s">
        <v>194</v>
      </c>
      <c r="B52" s="67" t="s">
        <v>128</v>
      </c>
      <c r="C52" s="83" t="s">
        <v>263</v>
      </c>
      <c r="D52" s="67" t="s">
        <v>264</v>
      </c>
      <c r="E52" s="67">
        <v>1</v>
      </c>
      <c r="F52" s="85">
        <v>4.66</v>
      </c>
      <c r="G52" s="313">
        <v>44370</v>
      </c>
      <c r="H52" s="317">
        <v>4.97</v>
      </c>
      <c r="I52" s="317">
        <v>9.5399999999999991</v>
      </c>
      <c r="J52" s="313">
        <v>44378</v>
      </c>
      <c r="K52" s="89">
        <f t="shared" si="0"/>
        <v>6.6523605150214493E-2</v>
      </c>
      <c r="L52" s="90">
        <f t="shared" si="1"/>
        <v>1.0472103004291844</v>
      </c>
      <c r="M52" s="312">
        <v>44407</v>
      </c>
      <c r="N52" s="68"/>
      <c r="O52" s="291">
        <v>8093199</v>
      </c>
      <c r="P52" s="291">
        <v>3270000</v>
      </c>
      <c r="Q52" s="291">
        <v>5</v>
      </c>
      <c r="R52" s="68" t="s">
        <v>131</v>
      </c>
      <c r="S52" s="68" t="s">
        <v>265</v>
      </c>
      <c r="T52" s="68" t="s">
        <v>266</v>
      </c>
      <c r="U52" s="68">
        <v>148</v>
      </c>
      <c r="V52" s="68">
        <v>452927</v>
      </c>
      <c r="W52" s="68"/>
      <c r="X52" s="68">
        <v>4.6399999999999997</v>
      </c>
      <c r="Y52" s="68">
        <v>5.3453724999999972</v>
      </c>
      <c r="Z52" s="68">
        <v>5.2090000000000023</v>
      </c>
      <c r="AA52" s="68">
        <v>4.1099999999999994</v>
      </c>
      <c r="AB52" s="68">
        <v>4.1420000000000012</v>
      </c>
      <c r="AC52" s="68" t="e">
        <v>#N/A</v>
      </c>
      <c r="AD52" s="68">
        <v>4.6650000000000009</v>
      </c>
      <c r="AE52" s="68">
        <v>4.6625000000000014</v>
      </c>
      <c r="AF52" s="68">
        <f>IF($Z$3="yes", -0.00685322305557639/$X52, -0.00685322305557639)</f>
        <v>-1.4769877274949117E-3</v>
      </c>
      <c r="AG52" s="68">
        <f>IF($Z$3="yes", -0.037201800180018/$X52, -0.037201800180018)</f>
        <v>-8.017629349141811E-3</v>
      </c>
      <c r="AH52" s="68">
        <f>IF($Z$3="yes", 0.00383481392557022/$X52, 0.00383481392557022)</f>
        <v>8.2646851844185782E-4</v>
      </c>
      <c r="AI52" s="68">
        <f>IF($Z$3="yes", -0.0375615846338532/$X52, -0.0375615846338532)</f>
        <v>-8.0951691021235346E-3</v>
      </c>
      <c r="AJ52" s="68" t="e">
        <f t="shared" si="2"/>
        <v>#N/A</v>
      </c>
      <c r="AK52" s="68">
        <f>IF($Z$3="yes", 0.0193186813186812/$X52, 0.0193186813186812)</f>
        <v>4.1635089048881902E-3</v>
      </c>
      <c r="AL52" s="68">
        <f>IF($Z$3="yes", -0.0761904761904793/$X52, -0.0761904761904793)</f>
        <v>-1.6420361247948129E-2</v>
      </c>
      <c r="AM52" s="68">
        <f>IF($Z$3="yes", 0.136372499999994/$X52, 0.136372499999994)</f>
        <v>2.9390624999998713E-2</v>
      </c>
      <c r="AN52" s="68">
        <f>IF($Z$3="yes", 1.23537249999999/$X52, 1.23537249999999)</f>
        <v>0.26624407327585992</v>
      </c>
      <c r="AO52" s="68">
        <f>IF($Z$3="yes", 1.20337249999999/$X52, 1.20337249999999)</f>
        <v>0.25934752155172197</v>
      </c>
      <c r="AP52" s="68"/>
      <c r="AQ52" s="68">
        <f>IF($Z$3="yes", 0.680372499999996/$X52, 0.680372499999996)</f>
        <v>0.14663200431034398</v>
      </c>
      <c r="AR52" s="68">
        <f>IF($Z$3="yes", 0.682872499999995/$X52, 0.682872499999995)</f>
        <v>0.14717079741379205</v>
      </c>
      <c r="AS52" s="68">
        <f>IF($Z$3="yes", 1.099/$X52, 1.099)</f>
        <v>0.23685344827586208</v>
      </c>
      <c r="AT52" s="68">
        <f>IF($Z$3="yes", 1.067/$X52, 1.067)</f>
        <v>0.22995689655172413</v>
      </c>
      <c r="AU52" s="88"/>
      <c r="AV52" s="88">
        <f>IF($Z$3="yes", 0.544000000000001/$X52, 0.544000000000001)</f>
        <v>0.11724137931034506</v>
      </c>
      <c r="AW52" s="88">
        <f>IF($Z$3="yes", 0.5465/$X52, 0.5465)</f>
        <v>0.11778017241379311</v>
      </c>
      <c r="AX52" s="88">
        <f>IF($Z$3="yes", 0.0320000000000026/$X52, 0.0320000000000026)</f>
        <v>6.8965517241384921E-3</v>
      </c>
      <c r="AY52" s="88"/>
      <c r="AZ52" s="88">
        <f>IF($Z$3="yes", 0.522999999999999/$X52, 0.522999999999999)</f>
        <v>0.11271551724137911</v>
      </c>
      <c r="BA52" s="88">
        <f>IF($Z$3="yes", 0.5205/$X52, 0.5205)</f>
        <v>0.11217672413793103</v>
      </c>
      <c r="BB52" s="88"/>
      <c r="BC52" s="88">
        <f>IF($Z$3="yes", 0.555000000000002/$X52, 0.555000000000002)</f>
        <v>0.1196120689655177</v>
      </c>
      <c r="BD52" s="88">
        <f>IF($Z$3="yes", 0.552500000000002/$X52, 0.552500000000002)</f>
        <v>0.11907327586206941</v>
      </c>
      <c r="BE52" s="88"/>
      <c r="BF52" s="88"/>
      <c r="BG52" s="88">
        <f>IF($Z$3="yes", 0.0024999999999995/$X52, 0.0024999999999995)</f>
        <v>5.3879310344816819E-4</v>
      </c>
      <c r="BH52" s="88">
        <f>IF($Z$3="yes", 0.825529404761905/$X52, 0.825529404761905)</f>
        <v>0.17791581999178988</v>
      </c>
      <c r="BI52" s="68"/>
      <c r="BJ52" s="68"/>
      <c r="BK52" s="68">
        <f>IF($BL$3="yes", MAX(0, (452927 - 385096.6) / 117599.265474916), 385096.6)</f>
        <v>385096.6</v>
      </c>
      <c r="BL52" s="68">
        <f>IF($BL$3="yes", MAX(0, (452927 - 20823604.9) / 58107326.6565154), 20823604.9)</f>
        <v>20823604.899999999</v>
      </c>
      <c r="BM52" s="68">
        <f>IF($BL$3="yes", MAX(0, (452927 - 10447918.3) / 42377924.5412416), 10447918.3)</f>
        <v>10447918.300000001</v>
      </c>
      <c r="BN52" s="68">
        <f>IF($BL$3="yes", MAX(0, (452927 - 4217122.24) / 27280749.2753318), 4217122.24)</f>
        <v>4217122.24</v>
      </c>
      <c r="BO52" s="68">
        <f>IF($BL$3="yes", MAX(0, (452927 - 2156855.13) / 19400319.8228381), 2156855.13)</f>
        <v>2156855.13</v>
      </c>
      <c r="BP52" s="68">
        <f>IF($BL$3="yes", MAX(0, (452927 - 1305732.63) / 13913880.6170064), 1305732.63)</f>
        <v>1305732.6299999999</v>
      </c>
      <c r="BQ52" s="68">
        <v>58.763584170596673</v>
      </c>
      <c r="BR52" s="68"/>
      <c r="BS52" s="68"/>
      <c r="BT52" s="68">
        <v>-137535633.05521271</v>
      </c>
      <c r="BU52" s="68">
        <v>-2477588.0509196222</v>
      </c>
      <c r="BV52" s="68">
        <f>IF($Z$3="yes", 0.67073389396093/$X52, 0.67073389396093)</f>
        <v>0.1445547185260625</v>
      </c>
      <c r="BW52" s="68">
        <f>IF($Z$3="yes", 0.397519067186013/$X52, 0.397519067186013)</f>
        <v>8.5672212755606256E-2</v>
      </c>
      <c r="BX52" s="68">
        <f>$BW$52 - $BV$52</f>
        <v>-5.8882505770456242E-2</v>
      </c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81"/>
      <c r="CR52" s="81"/>
      <c r="CS52" s="68"/>
      <c r="CT52" s="68"/>
      <c r="CU52" s="68"/>
    </row>
    <row r="53" spans="1:99" ht="15.75" customHeight="1" thickBot="1" x14ac:dyDescent="0.3">
      <c r="A53" s="82" t="s">
        <v>194</v>
      </c>
      <c r="B53" s="67" t="s">
        <v>128</v>
      </c>
      <c r="C53" s="83" t="s">
        <v>267</v>
      </c>
      <c r="D53" s="67" t="s">
        <v>268</v>
      </c>
      <c r="E53" s="67">
        <v>1</v>
      </c>
      <c r="F53" s="85">
        <v>3.48</v>
      </c>
      <c r="G53" s="313">
        <v>44370</v>
      </c>
      <c r="H53" s="317">
        <v>3.87</v>
      </c>
      <c r="I53" s="317">
        <v>5.6</v>
      </c>
      <c r="J53" s="313">
        <v>44404</v>
      </c>
      <c r="K53" s="93">
        <f t="shared" si="0"/>
        <v>0.11206896551724133</v>
      </c>
      <c r="L53" s="94">
        <f t="shared" si="1"/>
        <v>0.60919540229885039</v>
      </c>
      <c r="M53" s="312">
        <v>44407</v>
      </c>
      <c r="N53" s="68"/>
      <c r="O53" s="291">
        <v>27554157</v>
      </c>
      <c r="P53" s="291">
        <v>19340000</v>
      </c>
      <c r="Q53" s="291">
        <v>34</v>
      </c>
      <c r="R53" s="68" t="s">
        <v>131</v>
      </c>
      <c r="S53" s="68" t="s">
        <v>148</v>
      </c>
      <c r="T53" s="68" t="s">
        <v>154</v>
      </c>
      <c r="U53" s="68">
        <v>192</v>
      </c>
      <c r="V53" s="68">
        <v>163073</v>
      </c>
      <c r="W53" s="68"/>
      <c r="X53" s="68">
        <v>3.46</v>
      </c>
      <c r="Y53" s="68">
        <v>5.6722999999999972</v>
      </c>
      <c r="Z53" s="68">
        <v>4.7997000000000014</v>
      </c>
      <c r="AA53" s="68">
        <v>4.0742000000000012</v>
      </c>
      <c r="AB53" s="68">
        <v>4.4264000000000037</v>
      </c>
      <c r="AC53" s="68" t="e">
        <v>#N/A</v>
      </c>
      <c r="AD53" s="68">
        <v>3.622857142857141</v>
      </c>
      <c r="AE53" s="68">
        <v>3.4999999999999991</v>
      </c>
      <c r="AF53" s="68">
        <f>IF($Z$3="yes", -0.0200121803045075/$X53, -0.0200121803045075)</f>
        <v>-5.783867140031069E-3</v>
      </c>
      <c r="AG53" s="68">
        <f>IF($Z$3="yes", -0.0285680768076808/$X53, -0.0285680768076808)</f>
        <v>-8.2566695975956061E-3</v>
      </c>
      <c r="AH53" s="68">
        <f>IF($Z$3="yes", -0.0333987995198079/$X53, -0.0333987995198079)</f>
        <v>-9.652832231158353E-3</v>
      </c>
      <c r="AI53" s="68">
        <f>IF($Z$3="yes", -0.04182280912365/$X53, -0.04182280912365)</f>
        <v>-1.2087517087760116E-2</v>
      </c>
      <c r="AJ53" s="68" t="e">
        <f t="shared" si="2"/>
        <v>#N/A</v>
      </c>
      <c r="AK53" s="68">
        <f>IF($Z$3="yes", -0.0346373626373619/$X53, -0.0346373626373619)</f>
        <v>-1.0010798450104596E-2</v>
      </c>
      <c r="AL53" s="68">
        <f>IF($Z$3="yes", -0.00642857142857031/$X53, -0.00642857142857031)</f>
        <v>-1.8579686209740781E-3</v>
      </c>
      <c r="AM53" s="68">
        <f>IF($Z$3="yes", 0.872599999999995/$X53, 0.872599999999995)</f>
        <v>0.2521965317919061</v>
      </c>
      <c r="AN53" s="68">
        <f>IF($Z$3="yes", 1.59809999999999/$X53, 1.59809999999999)</f>
        <v>0.46187861271676012</v>
      </c>
      <c r="AO53" s="68">
        <f>IF($Z$3="yes", 1.24589999999999/$X53, 1.24589999999999)</f>
        <v>0.36008670520230923</v>
      </c>
      <c r="AP53" s="68"/>
      <c r="AQ53" s="68">
        <f>IF($Z$3="yes", 2.04944285714285/$X53, 2.04944285714285)</f>
        <v>0.59232452518579481</v>
      </c>
      <c r="AR53" s="68">
        <f>IF($Z$3="yes", 2.17229999999999/$X53, 2.17229999999999)</f>
        <v>0.62783236994219371</v>
      </c>
      <c r="AS53" s="68">
        <f>IF($Z$3="yes", 0.7255/$X53, 0.7255)</f>
        <v>0.20968208092485549</v>
      </c>
      <c r="AT53" s="68">
        <f>IF($Z$3="yes", 0.373299999999997/$X53, 0.373299999999997)</f>
        <v>0.10789017341040376</v>
      </c>
      <c r="AU53" s="88"/>
      <c r="AV53" s="88">
        <f>IF($Z$3="yes", 1.17684285714286/$X53, 1.17684285714286)</f>
        <v>0.34012799339389016</v>
      </c>
      <c r="AW53" s="88">
        <f>IF($Z$3="yes", 1.2997/$X53, 1.2997)</f>
        <v>0.37563583815028906</v>
      </c>
      <c r="AX53" s="88">
        <f>IF($Z$3="yes", 0.352200000000002/$X53, 0.352200000000002)</f>
        <v>0.10179190751445145</v>
      </c>
      <c r="AY53" s="88"/>
      <c r="AZ53" s="88">
        <f>IF($Z$3="yes", 0.803542857142862/$X53, 0.803542857142862)</f>
        <v>0.23223781998348614</v>
      </c>
      <c r="BA53" s="88">
        <f>IF($Z$3="yes", 0.926400000000004/$X53, 0.926400000000004)</f>
        <v>0.26774566473988554</v>
      </c>
      <c r="BB53" s="88"/>
      <c r="BC53" s="88">
        <f>IF($Z$3="yes", 0.451342857142859/$X53, 0.451342857142859)</f>
        <v>0.13044591246903439</v>
      </c>
      <c r="BD53" s="88">
        <f>IF($Z$3="yes", 0.574200000000002/$X53, 0.574200000000002)</f>
        <v>0.16595375722543412</v>
      </c>
      <c r="BE53" s="88"/>
      <c r="BF53" s="88"/>
      <c r="BG53" s="88">
        <f>IF($Z$3="yes", 0.122857142857142/$X53, 0.122857142857142)</f>
        <v>3.5507844756399419E-2</v>
      </c>
      <c r="BH53" s="88">
        <f>IF($Z$3="yes", 0.923637414965986/$X53, 0.923637414965986)</f>
        <v>0.26694722975895546</v>
      </c>
      <c r="BI53" s="68"/>
      <c r="BJ53" s="68"/>
      <c r="BK53" s="68">
        <f>IF($BL$3="yes", MAX(0, (163073 - 241066.4) / 117531.702565052), 241066.4)</f>
        <v>241066.4</v>
      </c>
      <c r="BL53" s="68">
        <f>IF($BL$3="yes", MAX(0, (163073 - 191114.7) / 108364.201738443), 191114.7)</f>
        <v>191114.7</v>
      </c>
      <c r="BM53" s="68">
        <f>IF($BL$3="yes", MAX(0, (163073 - 269465.75) / 340710.230755531), 269465.75)</f>
        <v>269465.75</v>
      </c>
      <c r="BN53" s="68">
        <f>IF($BL$3="yes", MAX(0, (163073 - 202557.66) / 226503.693262834), 202557.66)</f>
        <v>202557.66</v>
      </c>
      <c r="BO53" s="68">
        <f>IF($BL$3="yes", MAX(0, (163073 - 471021.69) / 2677226.7561134), 471021.69)</f>
        <v>471021.69</v>
      </c>
      <c r="BP53" s="68">
        <f>IF($BL$3="yes", MAX(0, (163073 - 322887.385) / 1936417.74275743), 322887.385)</f>
        <v>322887.38500000001</v>
      </c>
      <c r="BQ53" s="68">
        <v>39.358600583090379</v>
      </c>
      <c r="BR53" s="68"/>
      <c r="BS53" s="68"/>
      <c r="BT53" s="68">
        <v>-555076.65927701839</v>
      </c>
      <c r="BU53" s="68">
        <v>-3446.2222545777909</v>
      </c>
      <c r="BV53" s="68">
        <f>IF($Z$3="yes", 0.263085527364601/$X53, 0.263085527364601)</f>
        <v>7.6036279585144806E-2</v>
      </c>
      <c r="BW53" s="68">
        <f>IF($Z$3="yes", 0.321941833524772/$X53, 0.321941833524772)</f>
        <v>9.3046772695020818E-2</v>
      </c>
      <c r="BX53" s="68">
        <f>$BW$54 - $BV$54</f>
        <v>-1.5197409129865433E-2</v>
      </c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81"/>
      <c r="CR53" s="81"/>
      <c r="CS53" s="68"/>
      <c r="CT53" s="68"/>
      <c r="CU53" s="68"/>
    </row>
    <row r="54" spans="1:99" ht="15.75" customHeight="1" thickBot="1" x14ac:dyDescent="0.3">
      <c r="A54" s="84"/>
      <c r="B54" s="67" t="s">
        <v>128</v>
      </c>
      <c r="C54" s="83" t="s">
        <v>269</v>
      </c>
      <c r="D54" s="67" t="s">
        <v>270</v>
      </c>
      <c r="E54" s="67">
        <v>1</v>
      </c>
      <c r="F54" s="85">
        <v>1.1000000000000001</v>
      </c>
      <c r="G54" s="313">
        <v>44370</v>
      </c>
      <c r="H54" s="317">
        <v>1.18</v>
      </c>
      <c r="I54" s="317">
        <v>1.28</v>
      </c>
      <c r="J54" s="313">
        <v>44375</v>
      </c>
      <c r="K54" s="91">
        <f t="shared" si="0"/>
        <v>7.2727272727272529E-2</v>
      </c>
      <c r="L54" s="92">
        <f t="shared" si="1"/>
        <v>0.16363636363636358</v>
      </c>
      <c r="M54" s="312">
        <v>44407</v>
      </c>
      <c r="N54" s="68"/>
      <c r="O54" s="291">
        <v>148886141</v>
      </c>
      <c r="P54" s="291">
        <v>147890000</v>
      </c>
      <c r="Q54" s="291">
        <v>5</v>
      </c>
      <c r="R54" s="68" t="s">
        <v>131</v>
      </c>
      <c r="S54" s="68" t="s">
        <v>148</v>
      </c>
      <c r="T54" s="67" t="s">
        <v>271</v>
      </c>
      <c r="U54" s="68">
        <v>732</v>
      </c>
      <c r="V54" s="68">
        <v>10211680</v>
      </c>
      <c r="W54" s="68"/>
      <c r="X54" s="68">
        <v>1.1399999999999999</v>
      </c>
      <c r="Y54" s="68">
        <v>0.85265250000000026</v>
      </c>
      <c r="Z54" s="68">
        <v>0.97331599999999996</v>
      </c>
      <c r="AA54" s="68">
        <v>0.83698200000000078</v>
      </c>
      <c r="AB54" s="68">
        <v>0.81037199999999954</v>
      </c>
      <c r="AC54" s="68" t="e">
        <v>#N/A</v>
      </c>
      <c r="AD54" s="68">
        <v>1.0354142857142861</v>
      </c>
      <c r="AE54" s="68">
        <v>1.0419750000000001</v>
      </c>
      <c r="AF54" s="68">
        <f>IF($Z$3="yes", 0.00133951646291155/$X54, 0.00133951646291155)</f>
        <v>1.1750144411504825E-3</v>
      </c>
      <c r="AG54" s="68">
        <f>IF($Z$3="yes", -0.00468512091209119/$X54, -0.00468512091209119)</f>
        <v>-4.109755186044904E-3</v>
      </c>
      <c r="AH54" s="68">
        <f>IF($Z$3="yes", 0.00672306842737085/$X54, 0.00672306842737085)</f>
        <v>5.89742844506215E-3</v>
      </c>
      <c r="AI54" s="68">
        <f>IF($Z$3="yes", -0.000422290516206265/$X54, -0.000422290516206265)</f>
        <v>-3.7043027737391668E-4</v>
      </c>
      <c r="AJ54" s="68" t="e">
        <f t="shared" si="2"/>
        <v>#N/A</v>
      </c>
      <c r="AK54" s="68">
        <f>IF($Z$3="yes", 0.00443032967032973/$X54, 0.00443032967032973)</f>
        <v>3.8862540967804656E-3</v>
      </c>
      <c r="AL54" s="68">
        <f>IF($Z$3="yes", 0.0154880952380952/$X54, 0.0154880952380952)</f>
        <v>1.3586048454469476E-2</v>
      </c>
      <c r="AM54" s="68">
        <f>IF($Z$3="yes", 0.120663499999999/$X54, 0.120663499999999)</f>
        <v>0.10584517543859562</v>
      </c>
      <c r="AN54" s="68">
        <f>IF($Z$3="yes", 0.0156704999999994/$X54, 0.0156704999999994)</f>
        <v>1.3746052631578423E-2</v>
      </c>
      <c r="AO54" s="68">
        <f>IF($Z$3="yes", 0.0422805000000007/$X54, 0.0422805000000007)</f>
        <v>3.7088157894737461E-2</v>
      </c>
      <c r="AP54" s="68"/>
      <c r="AQ54" s="68">
        <f>IF($Z$3="yes", 0.182761785714285/$X54, 0.182761785714285)</f>
        <v>0.16031735588972371</v>
      </c>
      <c r="AR54" s="68">
        <f>IF($Z$3="yes", 0.189322499999999/$X54, 0.189322499999999)</f>
        <v>0.16607236842105177</v>
      </c>
      <c r="AS54" s="68">
        <f>IF($Z$3="yes", 0.136333999999999/$X54, 0.136333999999999)</f>
        <v>0.11959122807017458</v>
      </c>
      <c r="AT54" s="68">
        <f>IF($Z$3="yes", 0.162944/$X54, 0.162944)</f>
        <v>0.14293333333333336</v>
      </c>
      <c r="AU54" s="88"/>
      <c r="AV54" s="88">
        <f>IF($Z$3="yes", 0.0620982857142856/$X54, 0.0620982857142856)</f>
        <v>5.4472180451127721E-2</v>
      </c>
      <c r="AW54" s="88">
        <f>IF($Z$3="yes", 0.0686590000000001/$X54, 0.0686590000000001)</f>
        <v>6.0227192982456226E-2</v>
      </c>
      <c r="AX54" s="88">
        <f>IF($Z$3="yes", 0.0266100000000012/$X54, 0.0266100000000012)</f>
        <v>2.3342105263158948E-2</v>
      </c>
      <c r="AY54" s="88"/>
      <c r="AZ54" s="88">
        <f>IF($Z$3="yes", 0.225042285714286/$X54, 0.225042285714286)</f>
        <v>0.19740551378446142</v>
      </c>
      <c r="BA54" s="88">
        <f>IF($Z$3="yes", 0.231603/$X54, 0.231603)</f>
        <v>0.20316052631578949</v>
      </c>
      <c r="BB54" s="88"/>
      <c r="BC54" s="88">
        <f>IF($Z$3="yes", 0.198432285714284/$X54, 0.198432285714284)</f>
        <v>0.17406340852130178</v>
      </c>
      <c r="BD54" s="88">
        <f>IF($Z$3="yes", 0.204992999999999/$X54, 0.204992999999999)</f>
        <v>0.17981842105263074</v>
      </c>
      <c r="BE54" s="88"/>
      <c r="BF54" s="88"/>
      <c r="BG54" s="88">
        <f>IF($Z$3="yes", 0.00656071428571447/$X54, 0.00656071428571447)</f>
        <v>5.7550125313284833E-3</v>
      </c>
      <c r="BH54" s="88">
        <f>IF($Z$3="yes", 0.18166812585034/$X54, 0.18166812585034)</f>
        <v>0.1593580051318772</v>
      </c>
      <c r="BI54" s="68"/>
      <c r="BJ54" s="68"/>
      <c r="BK54" s="68">
        <f>IF($BL$3="yes", MAX(0, (10211680 - 9458930.8) / 8390609.96224444), 9458930.8)</f>
        <v>9458930.8000000007</v>
      </c>
      <c r="BL54" s="68">
        <f>IF($BL$3="yes", MAX(0, (10211680 - 7795449.8) / 6395256.63099931), 7795449.8)</f>
        <v>7795449.7999999998</v>
      </c>
      <c r="BM54" s="68">
        <f>IF($BL$3="yes", MAX(0, (10211680 - 15246098.3) / 21788220.2389119), 15246098.3)</f>
        <v>15246098.300000001</v>
      </c>
      <c r="BN54" s="68">
        <f>IF($BL$3="yes", MAX(0, (10211680 - 9821623.98) / 16357770.4138275), 9821623.98)</f>
        <v>9821623.9800000004</v>
      </c>
      <c r="BO54" s="68">
        <f>IF($BL$3="yes", MAX(0, (10211680 - 9086711.27) / 12819699.3046638), 9086711.27)</f>
        <v>9086711.2699999996</v>
      </c>
      <c r="BP54" s="68">
        <f>IF($BL$3="yes", MAX(0, (10211680 - 10401138.925) / 26306722.7167071), 10401138.925)</f>
        <v>10401138.925000001</v>
      </c>
      <c r="BQ54" s="68">
        <v>67.97088185696694</v>
      </c>
      <c r="BR54" s="68"/>
      <c r="BS54" s="68"/>
      <c r="BT54" s="68">
        <v>30005592.26287071</v>
      </c>
      <c r="BU54" s="68">
        <v>985533.25002807006</v>
      </c>
      <c r="BV54" s="68">
        <f>IF($Z$3="yes", 0.110949027528445/$X54, 0.110949027528445)</f>
        <v>9.7323708358285091E-2</v>
      </c>
      <c r="BW54" s="68">
        <f>IF($Z$3="yes", 0.0936239811203984/$X54, 0.0936239811203984)</f>
        <v>8.2126299228419658E-2</v>
      </c>
      <c r="BX54" s="68">
        <f>$BW$53 - $BV$53</f>
        <v>1.7010493109876013E-2</v>
      </c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81"/>
      <c r="CR54" s="81"/>
      <c r="CS54" s="68"/>
      <c r="CT54" s="68"/>
      <c r="CU54" s="68"/>
    </row>
    <row r="55" spans="1:99" ht="15.75" customHeight="1" thickBot="1" x14ac:dyDescent="0.3">
      <c r="A55" s="84"/>
      <c r="B55" s="67" t="s">
        <v>128</v>
      </c>
      <c r="C55" s="83" t="s">
        <v>272</v>
      </c>
      <c r="D55" s="67" t="s">
        <v>273</v>
      </c>
      <c r="E55" s="67">
        <v>1</v>
      </c>
      <c r="F55" s="85">
        <v>2.74</v>
      </c>
      <c r="G55" s="313">
        <v>44368</v>
      </c>
      <c r="H55" s="317">
        <v>3.6</v>
      </c>
      <c r="I55" s="317">
        <v>4.6699000000000002</v>
      </c>
      <c r="J55" s="313">
        <v>44400</v>
      </c>
      <c r="K55" s="95">
        <f t="shared" si="0"/>
        <v>0.31386861313868608</v>
      </c>
      <c r="L55" s="96">
        <f t="shared" si="1"/>
        <v>0.70434306569343064</v>
      </c>
      <c r="M55" s="312">
        <v>44407</v>
      </c>
      <c r="N55" s="68"/>
      <c r="O55" s="291">
        <v>5018271</v>
      </c>
      <c r="P55" s="291">
        <v>4650000</v>
      </c>
      <c r="Q55" s="291">
        <v>32</v>
      </c>
      <c r="R55" s="68" t="s">
        <v>131</v>
      </c>
      <c r="S55" s="68" t="s">
        <v>148</v>
      </c>
      <c r="T55" s="68" t="s">
        <v>242</v>
      </c>
      <c r="U55" s="68">
        <v>32</v>
      </c>
      <c r="V55" s="68">
        <v>63126</v>
      </c>
      <c r="W55" s="68"/>
      <c r="X55" s="68">
        <v>2.74</v>
      </c>
      <c r="Y55" s="68" t="e">
        <v>#N/A</v>
      </c>
      <c r="Z55" s="68">
        <v>3.147723</v>
      </c>
      <c r="AA55" s="68">
        <v>2.8263999999999991</v>
      </c>
      <c r="AB55" s="68">
        <v>2.906445999999999</v>
      </c>
      <c r="AC55" s="68" t="e">
        <v>#N/A</v>
      </c>
      <c r="AD55" s="68">
        <v>2.82</v>
      </c>
      <c r="AE55" s="68">
        <v>2.8487500000000008</v>
      </c>
      <c r="AF55" s="68" t="e">
        <f>IF($Z$3="yes", #N/A/$X55, #N/A)</f>
        <v>#N/A</v>
      </c>
      <c r="AG55" s="68">
        <f>IF($Z$3="yes", -0.0122733495349535/$X55, -0.0122733495349535)</f>
        <v>-4.4793246477932477E-3</v>
      </c>
      <c r="AH55" s="68">
        <f>IF($Z$3="yes", -0.00435438175270096/$X55, -0.00435438175270096)</f>
        <v>-1.5891904206937809E-3</v>
      </c>
      <c r="AI55" s="68">
        <f>IF($Z$3="yes", -0.0126287010804318/$X55, -0.0126287010804318)</f>
        <v>-4.6090149928583206E-3</v>
      </c>
      <c r="AJ55" s="68" t="e">
        <f t="shared" si="2"/>
        <v>#N/A</v>
      </c>
      <c r="AK55" s="68">
        <f>IF($Z$3="yes", -0.000571428571428765/$X55, -0.000571428571428765)</f>
        <v>-2.0855057351414779E-4</v>
      </c>
      <c r="AL55" s="68">
        <f>IF($Z$3="yes", -0.0465476190476203/$X55, -0.0465476190476203)</f>
        <v>-1.6988182134167994E-2</v>
      </c>
      <c r="AM55" s="68"/>
      <c r="AN55" s="68"/>
      <c r="AO55" s="68"/>
      <c r="AP55" s="68"/>
      <c r="AQ55" s="68"/>
      <c r="AR55" s="68"/>
      <c r="AS55" s="68">
        <f>IF($Z$3="yes", 0.321323000000001/$X55, 0.321323000000001)</f>
        <v>0.11727116788321204</v>
      </c>
      <c r="AT55" s="68">
        <f>IF($Z$3="yes", 0.241277000000001/$X55, 0.241277000000001)</f>
        <v>8.8057299270073344E-2</v>
      </c>
      <c r="AU55" s="88"/>
      <c r="AV55" s="88">
        <f>IF($Z$3="yes", 0.327723/$X55, 0.327723)</f>
        <v>0.11960693430656932</v>
      </c>
      <c r="AW55" s="88">
        <f>IF($Z$3="yes", 0.298972999999999/$X55, 0.298972999999999)</f>
        <v>0.10911423357664196</v>
      </c>
      <c r="AX55" s="88">
        <f>IF($Z$3="yes", 0.0800460000000002/$X55, 0.0800460000000002)</f>
        <v>2.9213868613138756E-2</v>
      </c>
      <c r="AY55" s="88"/>
      <c r="AZ55" s="88">
        <f>IF($Z$3="yes", 0.0864459999999986/$X55, 0.0864459999999986)</f>
        <v>3.1549635036495834E-2</v>
      </c>
      <c r="BA55" s="88">
        <f>IF($Z$3="yes", 0.0576959999999981/$X55, 0.0576959999999981)</f>
        <v>2.1056934306568648E-2</v>
      </c>
      <c r="BB55" s="88"/>
      <c r="BC55" s="88">
        <f>IF($Z$3="yes", 0.0063999999999984/$X55, 0.0063999999999984)</f>
        <v>2.3357664233570803E-3</v>
      </c>
      <c r="BD55" s="88">
        <f>IF($Z$3="yes", 0.022350000000002/$X55, 0.022350000000002)</f>
        <v>8.1569343065700725E-3</v>
      </c>
      <c r="BE55" s="88"/>
      <c r="BF55" s="88"/>
      <c r="BG55" s="88">
        <f>IF($Z$3="yes", 0.0287500000000004/$X55, 0.0287500000000004)</f>
        <v>1.0492700729927152E-2</v>
      </c>
      <c r="BH55" s="88">
        <f>IF($Z$3="yes", 0.339987333333333/$X55, 0.339987333333333)</f>
        <v>0.12408296836982954</v>
      </c>
      <c r="BI55" s="68"/>
      <c r="BJ55" s="68"/>
      <c r="BK55" s="68">
        <f>IF($BL$3="yes", MAX(0, (63126 - 93233.2) / 40153.8501685703), 93233.2)</f>
        <v>93233.2</v>
      </c>
      <c r="BL55" s="68">
        <f>IF($BL$3="yes", MAX(0, (63126 - 176102.1) / 138210.636487536), 176102.1)</f>
        <v>176102.1</v>
      </c>
      <c r="BM55" s="68">
        <f>IF($BL$3="yes", MAX(0, (63126 - 135553.25) / 116231.794243173), 135553.25)</f>
        <v>135553.25</v>
      </c>
      <c r="BN55" s="68">
        <f>IF($BL$3="yes", MAX(0, (63126 - 157319.56) / 113743.732494966), 157319.56)</f>
        <v>157319.56</v>
      </c>
      <c r="BO55" s="68">
        <f>IF($BL$3="yes", MAX(0, (63126 - 241447.51) / 231482.559931779), 241447.51)</f>
        <v>241447.51</v>
      </c>
      <c r="BP55" s="68">
        <f>IF($BL$3="yes", MAX(0, (63126 - 249758.521367521) / 224577.830421391), 249758.521367521)</f>
        <v>249758.521367521</v>
      </c>
      <c r="BQ55" s="68">
        <v>47.008547008547012</v>
      </c>
      <c r="BR55" s="68"/>
      <c r="BS55" s="68"/>
      <c r="BT55" s="68">
        <v>91943.488732705009</v>
      </c>
      <c r="BU55" s="68">
        <v>-9941.1594789897208</v>
      </c>
      <c r="BV55" s="68">
        <f>IF($Z$3="yes", 0.149762688615848/$X55, 0.149762688615848)</f>
        <v>5.4657915553229186E-2</v>
      </c>
      <c r="BW55" s="68">
        <f>IF($Z$3="yes", 0.198002598333724/$X55, 0.198002598333724)</f>
        <v>7.226372201960729E-2</v>
      </c>
      <c r="BX55" s="68">
        <f>$BW$55 - $BV$55</f>
        <v>1.7605806466378104E-2</v>
      </c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81"/>
      <c r="CR55" s="81"/>
      <c r="CS55" s="68"/>
      <c r="CT55" s="68"/>
      <c r="CU55" s="68"/>
    </row>
    <row r="56" spans="1:99" ht="15.75" customHeight="1" thickBot="1" x14ac:dyDescent="0.3">
      <c r="A56" s="84"/>
      <c r="B56" s="67" t="s">
        <v>128</v>
      </c>
      <c r="C56" s="83" t="s">
        <v>274</v>
      </c>
      <c r="D56" s="67" t="s">
        <v>275</v>
      </c>
      <c r="E56" s="67">
        <v>1</v>
      </c>
      <c r="F56" s="85">
        <v>0.76</v>
      </c>
      <c r="G56" s="313">
        <v>44368</v>
      </c>
      <c r="H56" s="317">
        <v>1.31</v>
      </c>
      <c r="I56" s="317">
        <v>1.65</v>
      </c>
      <c r="J56" s="313">
        <v>44397</v>
      </c>
      <c r="K56" s="97">
        <f t="shared" si="0"/>
        <v>0.72368421052631593</v>
      </c>
      <c r="L56" s="98">
        <f t="shared" si="1"/>
        <v>1.1710526315789473</v>
      </c>
      <c r="M56" s="312">
        <v>44407</v>
      </c>
      <c r="N56" s="68"/>
      <c r="O56" s="291">
        <v>56185378</v>
      </c>
      <c r="P56" s="291">
        <v>9520000</v>
      </c>
      <c r="Q56" s="291">
        <v>10</v>
      </c>
      <c r="R56" s="68" t="s">
        <v>131</v>
      </c>
      <c r="S56" s="68" t="s">
        <v>220</v>
      </c>
      <c r="T56" s="68" t="s">
        <v>221</v>
      </c>
      <c r="U56" s="68">
        <v>220</v>
      </c>
      <c r="V56" s="68">
        <v>6719873</v>
      </c>
      <c r="W56" s="68"/>
      <c r="X56" s="68">
        <v>0.78900000000000003</v>
      </c>
      <c r="Y56" s="68">
        <v>0.7890140000000001</v>
      </c>
      <c r="Z56" s="68">
        <v>0.99228299999999992</v>
      </c>
      <c r="AA56" s="68">
        <v>0.8047200000000001</v>
      </c>
      <c r="AB56" s="68">
        <v>0.84811800000000048</v>
      </c>
      <c r="AC56" s="68" t="e">
        <v>#N/A</v>
      </c>
      <c r="AD56" s="68">
        <v>0.7797357142857142</v>
      </c>
      <c r="AE56" s="68">
        <v>0.77563749999999976</v>
      </c>
      <c r="AF56" s="68">
        <f>IF($Z$3="yes", 0.00293355778894473/$X56, 0.00293355778894473)</f>
        <v>3.718070708421711E-3</v>
      </c>
      <c r="AG56" s="68">
        <f>IF($Z$3="yes", -0.00652011221122113/$X56, -0.00652011221122113)</f>
        <v>-8.2637670611167679E-3</v>
      </c>
      <c r="AH56" s="68">
        <f>IF($Z$3="yes", -0.000224854741896763/$X56, -0.000224854741896763)</f>
        <v>-2.849869986017275E-4</v>
      </c>
      <c r="AI56" s="68">
        <f>IF($Z$3="yes", -0.00315194717887161/$X56, -0.00315194717887161)</f>
        <v>-3.994863344577452E-3</v>
      </c>
      <c r="AJ56" s="68" t="e">
        <f t="shared" si="2"/>
        <v>#N/A</v>
      </c>
      <c r="AK56" s="68">
        <f>IF($Z$3="yes", -0.00189516483516477/$X56, -0.00189516483516477)</f>
        <v>-2.4019833145307603E-3</v>
      </c>
      <c r="AL56" s="68">
        <f>IF($Z$3="yes", -0.00382738095238044/$X56, -0.00382738095238044)</f>
        <v>-4.8509264288725479E-3</v>
      </c>
      <c r="AM56" s="68">
        <f>IF($Z$3="yes", 0.203268999999999/$X56, 0.203268999999999)</f>
        <v>0.25762864385297718</v>
      </c>
      <c r="AN56" s="68">
        <f>IF($Z$3="yes", 0.0157059999999999/$X56, 0.0157059999999999)</f>
        <v>1.9906210392902281E-2</v>
      </c>
      <c r="AO56" s="68">
        <f>IF($Z$3="yes", 0.0591040000000003/$X56, 0.0591040000000003)</f>
        <v>7.4910012674271609E-2</v>
      </c>
      <c r="AP56" s="68"/>
      <c r="AQ56" s="68">
        <f>IF($Z$3="yes", 0.0092782857142859/$X56, 0.0092782857142859)</f>
        <v>1.1759550968676679E-2</v>
      </c>
      <c r="AR56" s="68">
        <f>IF($Z$3="yes", 0.0133765000000003/$X56, 0.0133765000000003)</f>
        <v>1.6953738910013054E-2</v>
      </c>
      <c r="AS56" s="68">
        <f>IF($Z$3="yes", 0.187562999999999/$X56, 0.187562999999999)</f>
        <v>0.23772243346007477</v>
      </c>
      <c r="AT56" s="68">
        <f>IF($Z$3="yes", 0.144164999999999/$X56, 0.144164999999999)</f>
        <v>0.18271863117870593</v>
      </c>
      <c r="AU56" s="88"/>
      <c r="AV56" s="88">
        <f>IF($Z$3="yes", 0.212547285714285/$X56, 0.212547285714285)</f>
        <v>0.26938819482165399</v>
      </c>
      <c r="AW56" s="88">
        <f>IF($Z$3="yes", 0.2166455/$X56, 0.2166455)</f>
        <v>0.27458238276299113</v>
      </c>
      <c r="AX56" s="88">
        <f>IF($Z$3="yes", 0.0433980000000003/$X56, 0.0433980000000003)</f>
        <v>5.5003802281369196E-2</v>
      </c>
      <c r="AY56" s="88"/>
      <c r="AZ56" s="88">
        <f>IF($Z$3="yes", 0.0683822857142862/$X56, 0.0683822857142862)</f>
        <v>8.6669563642948283E-2</v>
      </c>
      <c r="BA56" s="88">
        <f>IF($Z$3="yes", 0.0724805000000007/$X56, 0.0724805000000007)</f>
        <v>9.1863751584284781E-2</v>
      </c>
      <c r="BB56" s="88"/>
      <c r="BC56" s="88">
        <f>IF($Z$3="yes", 0.0249842857142859/$X56, 0.0249842857142859)</f>
        <v>3.1665761361579087E-2</v>
      </c>
      <c r="BD56" s="88">
        <f>IF($Z$3="yes", 0.0290825000000003/$X56, 0.0290825000000003)</f>
        <v>3.685994930291546E-2</v>
      </c>
      <c r="BE56" s="88"/>
      <c r="BF56" s="88"/>
      <c r="BG56" s="88">
        <f>IF($Z$3="yes", 0.00409821428571444/$X56, 0.00409821428571444)</f>
        <v>5.1941879413364258E-3</v>
      </c>
      <c r="BH56" s="88">
        <f>IF($Z$3="yes", 0.125737074829932/$X56, 0.125737074829932)</f>
        <v>0.15936257899864636</v>
      </c>
      <c r="BI56" s="68"/>
      <c r="BJ56" s="68"/>
      <c r="BK56" s="68">
        <f>IF($BL$3="yes", MAX(0, (6719873 - 4030459.8) / 3244841.75756324), 4030459.8)</f>
        <v>4030459.8</v>
      </c>
      <c r="BL56" s="68">
        <f>IF($BL$3="yes", MAX(0, (6719873 - 2695880.9) / 2690808.62967244), 2695880.9)</f>
        <v>2695880.9</v>
      </c>
      <c r="BM56" s="68">
        <f>IF($BL$3="yes", MAX(0, (6719873 - 2057776.2) / 2092864.01311601), 2057776.2)</f>
        <v>2057776.2</v>
      </c>
      <c r="BN56" s="68">
        <f>IF($BL$3="yes", MAX(0, (6719873 - 4584222.02) / 20579736.9808068), 4584222.02)</f>
        <v>4584222.0199999996</v>
      </c>
      <c r="BO56" s="68">
        <f>IF($BL$3="yes", MAX(0, (6719873 - 3117349.54) / 14920529.4307379), 3117349.54)</f>
        <v>3117349.54</v>
      </c>
      <c r="BP56" s="68">
        <f>IF($BL$3="yes", MAX(0, (6719873 - 2560097.695) / 13634533.8506577), 2560097.695)</f>
        <v>2560097.6949999998</v>
      </c>
      <c r="BQ56" s="68">
        <v>46.201052016364713</v>
      </c>
      <c r="BR56" s="68"/>
      <c r="BS56" s="68"/>
      <c r="BT56" s="68">
        <v>2741655.780382249</v>
      </c>
      <c r="BU56" s="68">
        <v>1517652.7470240421</v>
      </c>
      <c r="BV56" s="68">
        <f>IF($Z$3="yes", 0.0895336811417602/$X56, 0.0895336811417602)</f>
        <v>0.11347741589576704</v>
      </c>
      <c r="BW56" s="68">
        <f>IF($Z$3="yes", 0.123827753294538/$X56, 0.123827753294538)</f>
        <v>0.15694265309827377</v>
      </c>
      <c r="BX56" s="68">
        <f>$BW$56 - $BV$56</f>
        <v>4.3465237202506724E-2</v>
      </c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81"/>
      <c r="CR56" s="81"/>
      <c r="CS56" s="68"/>
      <c r="CT56" s="68"/>
      <c r="CU56" s="68"/>
    </row>
    <row r="57" spans="1:99" ht="15.75" customHeight="1" thickBot="1" x14ac:dyDescent="0.3">
      <c r="A57" s="84"/>
      <c r="B57" s="67" t="s">
        <v>128</v>
      </c>
      <c r="C57" s="83" t="s">
        <v>276</v>
      </c>
      <c r="D57" s="67" t="s">
        <v>277</v>
      </c>
      <c r="E57" s="67">
        <v>3</v>
      </c>
      <c r="F57" s="85">
        <v>4.05</v>
      </c>
      <c r="G57" s="313">
        <v>44365</v>
      </c>
      <c r="H57" s="317">
        <v>3.2</v>
      </c>
      <c r="I57" s="85">
        <v>4.1500000000000004</v>
      </c>
      <c r="J57" s="313">
        <v>44368</v>
      </c>
      <c r="K57" s="99">
        <f t="shared" si="0"/>
        <v>-0.20987654320987648</v>
      </c>
      <c r="L57" s="89">
        <f t="shared" si="1"/>
        <v>2.4691358024691468E-2</v>
      </c>
      <c r="M57" s="312">
        <v>44407</v>
      </c>
      <c r="N57" s="68"/>
      <c r="O57" s="291">
        <v>7820455</v>
      </c>
      <c r="P57" s="291">
        <v>7170000</v>
      </c>
      <c r="Q57" s="291"/>
      <c r="R57" s="68" t="s">
        <v>131</v>
      </c>
      <c r="S57" s="68" t="s">
        <v>135</v>
      </c>
      <c r="T57" s="67" t="s">
        <v>278</v>
      </c>
      <c r="U57" s="68">
        <v>208</v>
      </c>
      <c r="V57" s="68">
        <v>440502</v>
      </c>
      <c r="W57" s="68"/>
      <c r="X57" s="68">
        <v>4.1100000000000003</v>
      </c>
      <c r="Y57" s="68">
        <v>3.723348000000001</v>
      </c>
      <c r="Z57" s="68">
        <v>3.800799999999998</v>
      </c>
      <c r="AA57" s="68">
        <v>3.6124000000000001</v>
      </c>
      <c r="AB57" s="68">
        <v>3.5164000000000009</v>
      </c>
      <c r="AC57" s="68" t="e">
        <v>#N/A</v>
      </c>
      <c r="AD57" s="68">
        <v>4.0307142857142857</v>
      </c>
      <c r="AE57" s="68">
        <v>4.0187500000000016</v>
      </c>
      <c r="AF57" s="68">
        <f>IF($Z$3="yes", 0.00036872001800039/$X57, 0.00036872001800039)</f>
        <v>8.971289975678588E-5</v>
      </c>
      <c r="AG57" s="68">
        <f>IF($Z$3="yes", -0.00615949594959498/$X57, -0.00615949594959498)</f>
        <v>-1.4986608149866131E-3</v>
      </c>
      <c r="AH57" s="68">
        <f>IF($Z$3="yes", 0.0177594237695079/$X57, 0.0177594237695079)</f>
        <v>4.3210276811454749E-3</v>
      </c>
      <c r="AI57" s="68">
        <f>IF($Z$3="yes", 0.00765618247298874/$X57, 0.00765618247298874)</f>
        <v>1.8628181199485984E-3</v>
      </c>
      <c r="AJ57" s="68" t="e">
        <f t="shared" si="2"/>
        <v>#N/A</v>
      </c>
      <c r="AK57" s="68">
        <f>IF($Z$3="yes", -0.00459340659340662/$X57, -0.00459340659340662)</f>
        <v>-1.1176171760113431E-3</v>
      </c>
      <c r="AL57" s="68">
        <f>IF($Z$3="yes", -0.00845238095238273/$X57, -0.00845238095238273)</f>
        <v>-2.0565403777086932E-3</v>
      </c>
      <c r="AM57" s="68">
        <f>IF($Z$3="yes", 0.0774519999999974/$X57, 0.0774519999999974)</f>
        <v>1.8844768856447053E-2</v>
      </c>
      <c r="AN57" s="68">
        <f>IF($Z$3="yes", 0.110948000000001/$X57, 0.110948000000001)</f>
        <v>2.6994647201946713E-2</v>
      </c>
      <c r="AO57" s="68">
        <f>IF($Z$3="yes", 0.206948/$X57, 0.206948)</f>
        <v>5.0352311435523107E-2</v>
      </c>
      <c r="AP57" s="68"/>
      <c r="AQ57" s="68">
        <f>IF($Z$3="yes", 0.307366285714284/$X57, 0.307366285714284)</f>
        <v>7.4784984358706563E-2</v>
      </c>
      <c r="AR57" s="68">
        <f>IF($Z$3="yes", 0.295402/$X57, 0.295402)</f>
        <v>7.1873965936739656E-2</v>
      </c>
      <c r="AS57" s="68">
        <f>IF($Z$3="yes", 0.188399999999998/$X57, 0.188399999999998)</f>
        <v>4.5839416058393673E-2</v>
      </c>
      <c r="AT57" s="68">
        <f>IF($Z$3="yes", 0.284399999999997/$X57, 0.284399999999997)</f>
        <v>6.9197080291970067E-2</v>
      </c>
      <c r="AU57" s="88"/>
      <c r="AV57" s="88">
        <f>IF($Z$3="yes", 0.229914285714287/$X57, 0.229914285714287)</f>
        <v>5.5940215502259603E-2</v>
      </c>
      <c r="AW57" s="88">
        <f>IF($Z$3="yes", 0.217950000000003/$X57, 0.217950000000003)</f>
        <v>5.3029197080292696E-2</v>
      </c>
      <c r="AX57" s="88">
        <f>IF($Z$3="yes", 0.0959999999999987/$X57, 0.0959999999999987)</f>
        <v>2.3357664233576325E-2</v>
      </c>
      <c r="AY57" s="88"/>
      <c r="AZ57" s="88">
        <f>IF($Z$3="yes", 0.514314285714284/$X57, 0.514314285714284)</f>
        <v>0.12513729579422966</v>
      </c>
      <c r="BA57" s="88">
        <f>IF($Z$3="yes", 0.50235/$X57, 0.50235)</f>
        <v>0.12222627737226276</v>
      </c>
      <c r="BB57" s="88"/>
      <c r="BC57" s="88">
        <f>IF($Z$3="yes", 0.418314285714286/$X57, 0.418314285714286)</f>
        <v>0.10177963156065353</v>
      </c>
      <c r="BD57" s="88">
        <f>IF($Z$3="yes", 0.406350000000002/$X57, 0.406350000000002)</f>
        <v>9.8868613138686612E-2</v>
      </c>
      <c r="BE57" s="88"/>
      <c r="BF57" s="88"/>
      <c r="BG57" s="88">
        <f>IF($Z$3="yes", 0.011964285714284/$X57, 0.011964285714284)</f>
        <v>2.9110184219669098E-3</v>
      </c>
      <c r="BH57" s="88">
        <f>IF($Z$3="yes", 0.558530367346938/$X57, 0.558530367346938)</f>
        <v>0.13589546650777079</v>
      </c>
      <c r="BI57" s="68"/>
      <c r="BJ57" s="68"/>
      <c r="BK57" s="68">
        <f>IF($BL$3="yes", MAX(0, (440502 - 155986.4) / 145592.241393008), 155986.4)</f>
        <v>155986.4</v>
      </c>
      <c r="BL57" s="68">
        <f>IF($BL$3="yes", MAX(0, (440502 - 107170.4) / 114193.344372778), 107170.4)</f>
        <v>107170.4</v>
      </c>
      <c r="BM57" s="68">
        <f>IF($BL$3="yes", MAX(0, (440502 - 163426.8) / 131304.353728884), 163426.8)</f>
        <v>163426.79999999999</v>
      </c>
      <c r="BN57" s="68">
        <f>IF($BL$3="yes", MAX(0, (440502 - 155054.3) / 146661.052340592), 155054.3)</f>
        <v>155054.29999999999</v>
      </c>
      <c r="BO57" s="68">
        <f>IF($BL$3="yes", MAX(0, (440502 - 285531.29) / 342897.315345492), 285531.29)</f>
        <v>285531.28999999998</v>
      </c>
      <c r="BP57" s="68">
        <f>IF($BL$3="yes", MAX(0, (440502 - 458549.868125) / 1229810.31229299), 458549.868125)</f>
        <v>458549.86812499998</v>
      </c>
      <c r="BQ57" s="68"/>
      <c r="BR57" s="68"/>
      <c r="BS57" s="68"/>
      <c r="BT57" s="68">
        <v>157466.4766686752</v>
      </c>
      <c r="BU57" s="68">
        <v>58733.857400073342</v>
      </c>
      <c r="BV57" s="68">
        <f>IF($Z$3="yes", 0.192600256080203/$X57, 0.192600256080203)</f>
        <v>4.6861376175231874E-2</v>
      </c>
      <c r="BW57" s="68">
        <f>IF($Z$3="yes", 0.219963246601083/$X57, 0.219963246601083)</f>
        <v>5.351903810245328E-2</v>
      </c>
      <c r="BX57" s="68">
        <f>$BW$57 - $BV$57</f>
        <v>6.657661927221406E-3</v>
      </c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81"/>
      <c r="CR57" s="81"/>
      <c r="CS57" s="68"/>
      <c r="CT57" s="68"/>
      <c r="CU57" s="68"/>
    </row>
    <row r="58" spans="1:99" ht="15.75" customHeight="1" thickBot="1" x14ac:dyDescent="0.3">
      <c r="A58" s="84"/>
      <c r="B58" s="67" t="s">
        <v>128</v>
      </c>
      <c r="C58" s="83" t="s">
        <v>279</v>
      </c>
      <c r="D58" s="67" t="s">
        <v>280</v>
      </c>
      <c r="E58" s="67">
        <v>1</v>
      </c>
      <c r="F58" s="85">
        <v>5.15</v>
      </c>
      <c r="G58" s="313">
        <v>44365</v>
      </c>
      <c r="H58" s="317">
        <v>16.2</v>
      </c>
      <c r="I58" s="317">
        <v>46.8</v>
      </c>
      <c r="J58" s="313">
        <v>44378</v>
      </c>
      <c r="K58" s="100">
        <f t="shared" si="0"/>
        <v>2.1456310679611645</v>
      </c>
      <c r="L58" s="101">
        <f t="shared" si="1"/>
        <v>8.0873786407766985</v>
      </c>
      <c r="M58" s="312">
        <v>44407</v>
      </c>
      <c r="N58" s="68"/>
      <c r="O58" s="291">
        <v>200565683</v>
      </c>
      <c r="P58" s="291">
        <v>141830000</v>
      </c>
      <c r="Q58" s="291">
        <v>13</v>
      </c>
      <c r="R58" s="68" t="s">
        <v>131</v>
      </c>
      <c r="S58" s="68" t="s">
        <v>281</v>
      </c>
      <c r="T58" s="68" t="s">
        <v>282</v>
      </c>
      <c r="U58" s="68">
        <v>2004</v>
      </c>
      <c r="V58" s="68">
        <v>39172285</v>
      </c>
      <c r="W58" s="68"/>
      <c r="X58" s="68">
        <v>5.09</v>
      </c>
      <c r="Y58" s="68">
        <v>2.9058505000000001</v>
      </c>
      <c r="Z58" s="68">
        <v>3.3467999999999991</v>
      </c>
      <c r="AA58" s="68">
        <v>3.5198000000000009</v>
      </c>
      <c r="AB58" s="68">
        <v>2.9107999999999978</v>
      </c>
      <c r="AC58" s="68" t="e">
        <v>#N/A</v>
      </c>
      <c r="AD58" s="68">
        <v>5.6657142857142864</v>
      </c>
      <c r="AE58" s="68">
        <v>5.9050000000000011</v>
      </c>
      <c r="AF58" s="68">
        <f>IF($Z$3="yes", 0.0102903917347933/$X58, 0.0102903917347933)</f>
        <v>2.021687963613615E-3</v>
      </c>
      <c r="AG58" s="68">
        <f>IF($Z$3="yes", 0.0157143714371437/$X58, 0.0157143714371437)</f>
        <v>3.0873028363740083E-3</v>
      </c>
      <c r="AH58" s="68">
        <f>IF($Z$3="yes", 0.0908633853541413/$X58, 0.0908633853541413)</f>
        <v>1.7851352721835228E-2</v>
      </c>
      <c r="AI58" s="68">
        <f>IF($Z$3="yes", 0.0367606242497/$X58, 0.0367606242497)</f>
        <v>7.2221265716502954E-3</v>
      </c>
      <c r="AJ58" s="68" t="e">
        <f t="shared" si="2"/>
        <v>#N/A</v>
      </c>
      <c r="AK58" s="68">
        <f>IF($Z$3="yes", 0.0316483516483514/$X58, 0.0316483516483514)</f>
        <v>6.2177508150002749E-3</v>
      </c>
      <c r="AL58" s="68">
        <f>IF($Z$3="yes", -0.214047619047621/$X58, -0.214047619047621)</f>
        <v>-4.2052577416035561E-2</v>
      </c>
      <c r="AM58" s="68">
        <f>IF($Z$3="yes", 0.440949499999999/$X58, 0.440949499999999)</f>
        <v>8.6630550098231632E-2</v>
      </c>
      <c r="AN58" s="68">
        <f>IF($Z$3="yes", 0.613949500000001/$X58, 0.613949500000001)</f>
        <v>0.12061876227897859</v>
      </c>
      <c r="AO58" s="68">
        <f>IF($Z$3="yes", 0.0049494999999986/$X58, 0.0049494999999986)</f>
        <v>9.7239685658125736E-4</v>
      </c>
      <c r="AP58" s="68"/>
      <c r="AQ58" s="68">
        <f>IF($Z$3="yes", 2.75986378571428/$X58, 2.75986378571428)</f>
        <v>0.54221292450182323</v>
      </c>
      <c r="AR58" s="68">
        <f>IF($Z$3="yes", 2.9991495/$X58, 2.9991495)</f>
        <v>0.58922387033398826</v>
      </c>
      <c r="AS58" s="68">
        <f>IF($Z$3="yes", 0.173000000000001/$X58, 0.173000000000001)</f>
        <v>3.3988212180746755E-2</v>
      </c>
      <c r="AT58" s="68">
        <f>IF($Z$3="yes", 0.436/$X58, 0.436)</f>
        <v>8.5658153241650298E-2</v>
      </c>
      <c r="AU58" s="88"/>
      <c r="AV58" s="88">
        <f>IF($Z$3="yes", 2.31891428571428/$X58, 2.31891428571428)</f>
        <v>0.45558237440359139</v>
      </c>
      <c r="AW58" s="88">
        <f>IF($Z$3="yes", 2.5582/$X58, 2.5582)</f>
        <v>0.50259332023575631</v>
      </c>
      <c r="AX58" s="88">
        <f>IF($Z$3="yes", 0.609000000000002/$X58, 0.609000000000002)</f>
        <v>0.11964636542239725</v>
      </c>
      <c r="AY58" s="88"/>
      <c r="AZ58" s="88">
        <f>IF($Z$3="yes", 2.75491428571428/$X58, 2.75491428571428)</f>
        <v>0.54124052764524166</v>
      </c>
      <c r="BA58" s="88">
        <f>IF($Z$3="yes", 2.9942/$X58, 2.9942)</f>
        <v>0.58825147347740669</v>
      </c>
      <c r="BB58" s="88"/>
      <c r="BC58" s="88">
        <f>IF($Z$3="yes", 2.14591428571428/$X58, 2.14591428571428)</f>
        <v>0.42159416222284485</v>
      </c>
      <c r="BD58" s="88">
        <f>IF($Z$3="yes", 2.3852/$X58, 2.3852)</f>
        <v>0.46860510805500988</v>
      </c>
      <c r="BE58" s="88"/>
      <c r="BF58" s="88"/>
      <c r="BG58" s="88">
        <f>IF($Z$3="yes", 0.239285714285714/$X58, 0.239285714285714)</f>
        <v>4.701094583216385E-2</v>
      </c>
      <c r="BH58" s="88">
        <f>IF($Z$3="yes", 1.61663360204081/$X58, 1.61663360204081)</f>
        <v>0.3176097449981945</v>
      </c>
      <c r="BI58" s="68"/>
      <c r="BJ58" s="68"/>
      <c r="BK58" s="68">
        <f>IF($BL$3="yes", MAX(0, (39172285 - 32528622.2) / 7723318.0393802), 32528622.2)</f>
        <v>32528622.199999999</v>
      </c>
      <c r="BL58" s="68">
        <f>IF($BL$3="yes", MAX(0, (39172285 - 54983730.8) / 30738555.131855), 54983730.8)</f>
        <v>54983730.799999997</v>
      </c>
      <c r="BM58" s="68">
        <f>IF($BL$3="yes", MAX(0, (39172285 - 51890106) / 27824588.4097529), 51890106)</f>
        <v>51890106</v>
      </c>
      <c r="BN58" s="68">
        <f>IF($BL$3="yes", MAX(0, (39172285 - 35220533.18) / 26866458.2985866), 35220533.18)</f>
        <v>35220533.18</v>
      </c>
      <c r="BO58" s="68">
        <f>IF($BL$3="yes", MAX(0, (39172285 - 22274587.97) / 23094140.196868), 22274587.97)</f>
        <v>22274587.969999999</v>
      </c>
      <c r="BP58" s="68">
        <f>IF($BL$3="yes", MAX(0, (39172285 - 14162031.41) / 19653676.8441602), 14162031.41)</f>
        <v>14162031.41</v>
      </c>
      <c r="BQ58" s="68"/>
      <c r="BR58" s="68"/>
      <c r="BS58" s="68"/>
      <c r="BT58" s="68">
        <v>-171589231.79690391</v>
      </c>
      <c r="BU58" s="68">
        <v>-15871485.230181839</v>
      </c>
      <c r="BV58" s="68">
        <f>IF($Z$3="yes", 0.691096413919608/$X58, 0.691096413919608)</f>
        <v>0.13577532689972652</v>
      </c>
      <c r="BW58" s="68">
        <f>IF($Z$3="yes", 0.408544765357021/$X58, 0.408544765357021)</f>
        <v>8.0264197516114147E-2</v>
      </c>
      <c r="BX58" s="68">
        <f>$BW$58 - $BV$58</f>
        <v>-5.551112938361237E-2</v>
      </c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81"/>
      <c r="CR58" s="81"/>
      <c r="CS58" s="68"/>
      <c r="CT58" s="68"/>
      <c r="CU58" s="68"/>
    </row>
    <row r="59" spans="1:99" ht="15.75" customHeight="1" thickBot="1" x14ac:dyDescent="0.3">
      <c r="A59" s="84"/>
      <c r="B59" s="67" t="s">
        <v>128</v>
      </c>
      <c r="C59" s="83" t="s">
        <v>283</v>
      </c>
      <c r="D59" s="67" t="s">
        <v>284</v>
      </c>
      <c r="E59" s="67">
        <v>1</v>
      </c>
      <c r="F59" s="85">
        <v>4.18</v>
      </c>
      <c r="G59" s="313">
        <v>44364</v>
      </c>
      <c r="H59" s="317">
        <v>2.93</v>
      </c>
      <c r="I59" s="317">
        <v>4.57</v>
      </c>
      <c r="J59" s="313">
        <v>44375</v>
      </c>
      <c r="K59" s="101">
        <f t="shared" si="0"/>
        <v>-0.29904306220095689</v>
      </c>
      <c r="L59" s="102">
        <f t="shared" si="1"/>
        <v>9.3301435406698774E-2</v>
      </c>
      <c r="M59" s="312">
        <v>44407</v>
      </c>
      <c r="N59" s="68"/>
      <c r="O59" s="291">
        <v>7302040</v>
      </c>
      <c r="P59" s="291">
        <v>5650000</v>
      </c>
      <c r="Q59" s="291">
        <v>11</v>
      </c>
      <c r="R59" s="68" t="s">
        <v>131</v>
      </c>
      <c r="S59" s="68" t="s">
        <v>148</v>
      </c>
      <c r="T59" s="68" t="s">
        <v>154</v>
      </c>
      <c r="U59" s="68">
        <v>216</v>
      </c>
      <c r="V59" s="68">
        <v>508684</v>
      </c>
      <c r="W59" s="68"/>
      <c r="X59" s="68">
        <v>4.24</v>
      </c>
      <c r="Y59" s="68">
        <v>6.1166084999999981</v>
      </c>
      <c r="Z59" s="68">
        <v>7.7616000000000014</v>
      </c>
      <c r="AA59" s="68">
        <v>6.0186000000000028</v>
      </c>
      <c r="AB59" s="68">
        <v>7.2548000000000039</v>
      </c>
      <c r="AC59" s="68">
        <v>3.908000000000003</v>
      </c>
      <c r="AD59" s="68" t="e">
        <v>#N/A</v>
      </c>
      <c r="AE59" s="68">
        <v>4.0787500000000003</v>
      </c>
      <c r="AF59" s="68">
        <f>IF($Z$3="yes", 0.0210378586214656/$X59, 0.0210378586214656)</f>
        <v>4.9617591088362261E-3</v>
      </c>
      <c r="AG59" s="68">
        <f>IF($Z$3="yes", -0.0687612361236125/$X59, -0.0687612361236125)</f>
        <v>-1.6217272670663325E-2</v>
      </c>
      <c r="AH59" s="68">
        <f>IF($Z$3="yes", -0.149185594237695/$X59, -0.149185594237695)</f>
        <v>-3.5185281659833728E-2</v>
      </c>
      <c r="AI59" s="68">
        <f>IF($Z$3="yes", -0.173612484993999/$X59, -0.173612484993999)</f>
        <v>-4.0946340800471465E-2</v>
      </c>
      <c r="AJ59" s="68">
        <f>IF($Z$3="yes", 0.0312330827067662/$X59, 0.0312330827067662)</f>
        <v>7.3662930912184428E-3</v>
      </c>
      <c r="AK59" s="68" t="e">
        <f t="shared" ref="AK59:AK70" si="3">IF($Z$3="yes", #N/A/$X59, #N/A)</f>
        <v>#N/A</v>
      </c>
      <c r="AL59" s="68">
        <f>IF($Z$3="yes", 0.0446428571428578/$X59, 0.0446428571428578)</f>
        <v>1.0528975741240048E-2</v>
      </c>
      <c r="AM59" s="68">
        <f>IF($Z$3="yes", 1.6449915/$X59, 1.6449915)</f>
        <v>0.38796969339622639</v>
      </c>
      <c r="AN59" s="68">
        <f>IF($Z$3="yes", 0.0980084999999952/$X59, 0.0980084999999952)</f>
        <v>2.3115212264149809E-2</v>
      </c>
      <c r="AO59" s="68">
        <f>IF($Z$3="yes", 1.1381915/$X59, 1.1381915)</f>
        <v>0.26844139150943397</v>
      </c>
      <c r="AP59" s="68">
        <f>IF($Z$3="yes", 2.20860849999999/$X59, 2.20860849999999)</f>
        <v>0.52089823113207312</v>
      </c>
      <c r="AQ59" s="68"/>
      <c r="AR59" s="68">
        <f>IF($Z$3="yes", 2.03785849999999/$X59, 2.03785849999999)</f>
        <v>0.48062700471697872</v>
      </c>
      <c r="AS59" s="68">
        <f>IF($Z$3="yes", 1.74299999999999/$X59, 1.74299999999999)</f>
        <v>0.41108490566037498</v>
      </c>
      <c r="AT59" s="68">
        <f>IF($Z$3="yes", 0.506799999999997/$X59, 0.506799999999997)</f>
        <v>0.11952830188679174</v>
      </c>
      <c r="AU59" s="88">
        <f>IF($Z$3="yes", 3.85359999999999/$X59, 3.85359999999999)</f>
        <v>0.90886792452829945</v>
      </c>
      <c r="AV59" s="88"/>
      <c r="AW59" s="88">
        <f>IF($Z$3="yes", 3.68285/$X59, 3.68285)</f>
        <v>0.8685966981132075</v>
      </c>
      <c r="AX59" s="88">
        <f>IF($Z$3="yes", 1.2362/$X59, 1.2362)</f>
        <v>0.29155660377358489</v>
      </c>
      <c r="AY59" s="88">
        <f>IF($Z$3="yes", 3.3468/$X59, 3.3468)</f>
        <v>0.78933962264150936</v>
      </c>
      <c r="AZ59" s="88"/>
      <c r="BA59" s="88">
        <f>IF($Z$3="yes", 3.17605/$X59, 3.17605)</f>
        <v>0.74906839622641508</v>
      </c>
      <c r="BB59" s="88">
        <f>IF($Z$3="yes", 2.1106/$X59, 2.1106)</f>
        <v>0.49778301886792448</v>
      </c>
      <c r="BC59" s="88"/>
      <c r="BD59" s="88">
        <f>IF($Z$3="yes", 1.93985/$X59, 1.93985)</f>
        <v>0.45751179245283019</v>
      </c>
      <c r="BE59" s="88"/>
      <c r="BF59" s="88">
        <f>IF($Z$3="yes", 0.170749999999997/$X59, 0.170749999999997)</f>
        <v>4.0271226415093626E-2</v>
      </c>
      <c r="BG59" s="88"/>
      <c r="BH59" s="88"/>
      <c r="BI59" s="68"/>
      <c r="BJ59" s="68"/>
      <c r="BK59" s="68">
        <f>IF($BL$3="yes", MAX(0, (508684 - 429261.8) / 115675.542534107), 429261.8)</f>
        <v>429261.8</v>
      </c>
      <c r="BL59" s="68">
        <f>IF($BL$3="yes", MAX(0, (508684 - 611384.5) / 397198.230466413), 611384.5)</f>
        <v>611384.5</v>
      </c>
      <c r="BM59" s="68">
        <f>IF($BL$3="yes", MAX(0, (508684 - 657454.75) / 379693.251166237), 657454.75)</f>
        <v>657454.75</v>
      </c>
      <c r="BN59" s="68">
        <f>IF($BL$3="yes", MAX(0, (508684 - 1383043.76666666) / 5427707.44201032), 1383043.76666666)</f>
        <v>1383043.7666666601</v>
      </c>
      <c r="BO59" s="68">
        <f>IF($BL$3="yes", MAX(0, (508684 - 1019219.25666666) / 4002454.36346675), 1019219.25666666)</f>
        <v>1019219.25666666</v>
      </c>
      <c r="BP59" s="68">
        <f>IF($BL$3="yes", MAX(0, (508684 - 673716.209166666) / 2969429.91109989), 673716.209166666)</f>
        <v>673716.20916666603</v>
      </c>
      <c r="BQ59" s="68"/>
      <c r="BR59" s="68"/>
      <c r="BS59" s="68"/>
      <c r="BT59" s="68">
        <v>1733311.851205705</v>
      </c>
      <c r="BU59" s="68">
        <v>195853.0964370337</v>
      </c>
      <c r="BV59" s="68">
        <f>IF($Z$3="yes", 0.457948623642812/$X59, 0.457948623642812)</f>
        <v>0.10800675085915377</v>
      </c>
      <c r="BW59" s="68">
        <f>IF($Z$3="yes", 0.964452016999687/$X59, 0.964452016999687)</f>
        <v>0.22746509834898276</v>
      </c>
      <c r="BX59" s="68">
        <f>$BW$59 - $BV$59</f>
        <v>0.11945834748982899</v>
      </c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81"/>
      <c r="CR59" s="81"/>
      <c r="CS59" s="68"/>
      <c r="CT59" s="68"/>
      <c r="CU59" s="68"/>
    </row>
    <row r="60" spans="1:99" ht="15.75" customHeight="1" thickBot="1" x14ac:dyDescent="0.3">
      <c r="A60" s="84"/>
      <c r="B60" s="67" t="s">
        <v>128</v>
      </c>
      <c r="C60" s="83" t="s">
        <v>285</v>
      </c>
      <c r="D60" s="67" t="s">
        <v>286</v>
      </c>
      <c r="E60" s="67">
        <v>1</v>
      </c>
      <c r="F60" s="85">
        <v>1.83</v>
      </c>
      <c r="G60" s="313">
        <v>44364</v>
      </c>
      <c r="H60" s="317">
        <v>1.71</v>
      </c>
      <c r="I60" s="317">
        <v>2.54</v>
      </c>
      <c r="J60" s="313">
        <v>44377</v>
      </c>
      <c r="K60" s="103">
        <f t="shared" si="0"/>
        <v>-6.5573770491803351E-2</v>
      </c>
      <c r="L60" s="87">
        <f t="shared" si="1"/>
        <v>0.38797814207650272</v>
      </c>
      <c r="M60" s="312">
        <v>44407</v>
      </c>
      <c r="N60" s="68"/>
      <c r="O60" s="291">
        <v>25120000</v>
      </c>
      <c r="P60" s="291">
        <v>12030000</v>
      </c>
      <c r="Q60" s="291">
        <v>14</v>
      </c>
      <c r="R60" s="68" t="s">
        <v>152</v>
      </c>
      <c r="S60" s="68" t="s">
        <v>135</v>
      </c>
      <c r="T60" s="68" t="s">
        <v>133</v>
      </c>
      <c r="U60" s="68">
        <v>272</v>
      </c>
      <c r="V60" s="68">
        <v>140301</v>
      </c>
      <c r="W60" s="68"/>
      <c r="X60" s="68">
        <v>1.83</v>
      </c>
      <c r="Y60" s="68">
        <v>1.754912</v>
      </c>
      <c r="Z60" s="68">
        <v>2.237200000000001</v>
      </c>
      <c r="AA60" s="68">
        <v>1.7444999999999999</v>
      </c>
      <c r="AB60" s="68">
        <v>1.8774</v>
      </c>
      <c r="AC60" s="68">
        <v>1.7054999999999989</v>
      </c>
      <c r="AD60" s="68" t="e">
        <v>#N/A</v>
      </c>
      <c r="AE60" s="68">
        <v>1.7825</v>
      </c>
      <c r="AF60" s="68">
        <f>IF($Z$3="yes", 0.00678683177079427/$X60, 0.00678683177079427)</f>
        <v>3.7086512408711853E-3</v>
      </c>
      <c r="AG60" s="68">
        <f>IF($Z$3="yes", -0.0156419441944195/$X60, -0.0156419441944195)</f>
        <v>-8.5475104887538251E-3</v>
      </c>
      <c r="AH60" s="68">
        <f>IF($Z$3="yes", -0.00462833133253306/$X60, -0.00462833133253306)</f>
        <v>-2.5291428046628744E-3</v>
      </c>
      <c r="AI60" s="68">
        <f>IF($Z$3="yes", -0.0185997599039613/$X60, -0.0185997599039613)</f>
        <v>-1.016380322620836E-2</v>
      </c>
      <c r="AJ60" s="68">
        <f>IF($Z$3="yes", 0.0121578947368419/$X60, 0.0121578947368419)</f>
        <v>6.6436583261431145E-3</v>
      </c>
      <c r="AK60" s="68" t="e">
        <f t="shared" si="3"/>
        <v>#N/A</v>
      </c>
      <c r="AL60" s="68">
        <f>IF($Z$3="yes", 0.00857142857142855/$X60, 0.00857142857142855)</f>
        <v>4.6838407494145078E-3</v>
      </c>
      <c r="AM60" s="68">
        <f>IF($Z$3="yes", 0.482288/$X60, 0.482288)</f>
        <v>0.26354535519125682</v>
      </c>
      <c r="AN60" s="68">
        <f>IF($Z$3="yes", 0.010412/$X60, 0.010412)</f>
        <v>5.6896174863387975E-3</v>
      </c>
      <c r="AO60" s="68">
        <f>IF($Z$3="yes", 0.122487999999999/$X60, 0.122487999999999)</f>
        <v>6.693333333333279E-2</v>
      </c>
      <c r="AP60" s="68">
        <f>IF($Z$3="yes", 0.0494120000000009/$X60, 0.0494120000000009)</f>
        <v>2.7001092896175354E-2</v>
      </c>
      <c r="AQ60" s="68"/>
      <c r="AR60" s="68">
        <f>IF($Z$3="yes", 0.0275879999999995/$X60, 0.0275879999999995)</f>
        <v>1.5075409836065298E-2</v>
      </c>
      <c r="AS60" s="68">
        <f>IF($Z$3="yes", 0.4927/$X60, 0.4927)</f>
        <v>0.26923497267759561</v>
      </c>
      <c r="AT60" s="68">
        <f>IF($Z$3="yes", 0.3598/$X60, 0.3598)</f>
        <v>0.19661202185792351</v>
      </c>
      <c r="AU60" s="88">
        <f>IF($Z$3="yes", 0.531700000000001/$X60, 0.531700000000001)</f>
        <v>0.29054644808743219</v>
      </c>
      <c r="AV60" s="88"/>
      <c r="AW60" s="88">
        <f>IF($Z$3="yes", 0.4547/$X60, 0.4547)</f>
        <v>0.24846994535519124</v>
      </c>
      <c r="AX60" s="88">
        <f>IF($Z$3="yes", 0.1329/$X60, 0.1329)</f>
        <v>7.2622950819672127E-2</v>
      </c>
      <c r="AY60" s="88">
        <f>IF($Z$3="yes", 0.1719/$X60, 0.1719)</f>
        <v>9.3934426229508192E-2</v>
      </c>
      <c r="AZ60" s="88"/>
      <c r="BA60" s="88">
        <f>IF($Z$3="yes", 0.0949000000000004/$X60, 0.0949000000000004)</f>
        <v>5.1857923497267977E-2</v>
      </c>
      <c r="BB60" s="88">
        <f>IF($Z$3="yes", 0.0390000000000008/$X60, 0.0390000000000008)</f>
        <v>2.1311475409836501E-2</v>
      </c>
      <c r="BC60" s="88"/>
      <c r="BD60" s="88">
        <f>IF($Z$3="yes", 0.0379999999999995/$X60, 0.0379999999999995)</f>
        <v>2.0765027322404098E-2</v>
      </c>
      <c r="BE60" s="88"/>
      <c r="BF60" s="88">
        <f>IF($Z$3="yes", 0.0770000000000004/$X60, 0.0770000000000004)</f>
        <v>4.2076502732240652E-2</v>
      </c>
      <c r="BG60" s="88"/>
      <c r="BH60" s="88"/>
      <c r="BI60" s="68"/>
      <c r="BJ60" s="68"/>
      <c r="BK60" s="68">
        <f>IF($BL$3="yes", MAX(0, (140301 - 269422.4) / 182603.247401134), 269422.4)</f>
        <v>269422.40000000002</v>
      </c>
      <c r="BL60" s="68">
        <f>IF($BL$3="yes", MAX(0, (140301 - 242325.6) / 160747.561938711), 242325.6)</f>
        <v>242325.6</v>
      </c>
      <c r="BM60" s="68">
        <f>IF($BL$3="yes", MAX(0, (140301 - 166372.75) / 140280.818595014), 166372.75)</f>
        <v>166372.75</v>
      </c>
      <c r="BN60" s="68">
        <f>IF($BL$3="yes", MAX(0, (140301 - 160809.74) / 130104.115139654), 160809.74)</f>
        <v>160809.74</v>
      </c>
      <c r="BO60" s="68">
        <f>IF($BL$3="yes", MAX(0, (140301 - 1080776.5) / 3122718.48007552), 1080776.5)</f>
        <v>1080776.5</v>
      </c>
      <c r="BP60" s="68">
        <f>IF($BL$3="yes", MAX(0, (140301 - 1940733.42) / 10667849.4134919), 1940733.42)</f>
        <v>1940733.42</v>
      </c>
      <c r="BQ60" s="68"/>
      <c r="BR60" s="68"/>
      <c r="BS60" s="68"/>
      <c r="BT60" s="68">
        <v>-31420.161752302582</v>
      </c>
      <c r="BU60" s="68">
        <v>-23466.9427343926</v>
      </c>
      <c r="BV60" s="68">
        <f>IF($Z$3="yes", 0.129519345531257/$X60, 0.129519345531257)</f>
        <v>7.07755986509601E-2</v>
      </c>
      <c r="BW60" s="68">
        <f>IF($Z$3="yes", 0.178321523557027/$X60, 0.178321523557027)</f>
        <v>9.7443455495643164E-2</v>
      </c>
      <c r="BX60" s="68">
        <f>$BW$60 - $BV$60</f>
        <v>2.6667856844683063E-2</v>
      </c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81"/>
      <c r="CR60" s="81"/>
      <c r="CS60" s="68"/>
      <c r="CT60" s="68"/>
      <c r="CU60" s="68"/>
    </row>
    <row r="61" spans="1:99" ht="15.75" customHeight="1" thickBot="1" x14ac:dyDescent="0.3">
      <c r="A61" s="84"/>
      <c r="B61" s="67" t="s">
        <v>128</v>
      </c>
      <c r="C61" s="83" t="s">
        <v>287</v>
      </c>
      <c r="D61" s="67" t="s">
        <v>288</v>
      </c>
      <c r="E61" s="67">
        <v>1</v>
      </c>
      <c r="F61" s="85">
        <v>6.1</v>
      </c>
      <c r="G61" s="313">
        <v>44361</v>
      </c>
      <c r="H61" s="317">
        <v>3.65</v>
      </c>
      <c r="I61" s="85">
        <v>6.65</v>
      </c>
      <c r="J61" s="313">
        <v>44390</v>
      </c>
      <c r="K61" s="106">
        <f t="shared" si="0"/>
        <v>-0.40163934426229508</v>
      </c>
      <c r="L61" s="87">
        <f t="shared" si="1"/>
        <v>9.0163934426229719E-2</v>
      </c>
      <c r="M61" s="312">
        <v>44407</v>
      </c>
      <c r="N61" s="68"/>
      <c r="O61" s="291">
        <v>44425318</v>
      </c>
      <c r="P61" s="291">
        <v>360000</v>
      </c>
      <c r="Q61" s="291"/>
      <c r="R61" s="68" t="s">
        <v>152</v>
      </c>
      <c r="S61" s="68" t="s">
        <v>281</v>
      </c>
      <c r="T61" s="68" t="s">
        <v>289</v>
      </c>
      <c r="U61" s="68">
        <v>68</v>
      </c>
      <c r="V61" s="68">
        <v>185051</v>
      </c>
      <c r="W61" s="68"/>
      <c r="X61" s="68">
        <v>6.1</v>
      </c>
      <c r="Y61" s="68">
        <v>7.6962049999999964</v>
      </c>
      <c r="Z61" s="68">
        <v>7.7133999999999991</v>
      </c>
      <c r="AA61" s="68">
        <v>6.8220000000000027</v>
      </c>
      <c r="AB61" s="68">
        <v>7.4044000000000034</v>
      </c>
      <c r="AC61" s="68">
        <v>6.1449999999999996</v>
      </c>
      <c r="AD61" s="68" t="e">
        <v>#N/A</v>
      </c>
      <c r="AE61" s="68">
        <v>6.1037499999999998</v>
      </c>
      <c r="AF61" s="68">
        <f>IF($Z$3="yes", -0.00559388659716475/$X61, -0.00559388659716475)</f>
        <v>-9.1703058969913945E-4</v>
      </c>
      <c r="AG61" s="68">
        <f>IF($Z$3="yes", -0.0254261026102609/$X61, -0.0254261026102609)</f>
        <v>-4.1682135426657219E-3</v>
      </c>
      <c r="AH61" s="68">
        <f>IF($Z$3="yes", -0.0483418967587041/$X61, -0.0483418967587041)</f>
        <v>-7.9249011079842793E-3</v>
      </c>
      <c r="AI61" s="68">
        <f>IF($Z$3="yes", -0.0745815126050426/$X61, -0.0745815126050426)</f>
        <v>-1.2226477476236492E-2</v>
      </c>
      <c r="AJ61" s="68">
        <f>IF($Z$3="yes", 0.00285714285714367/$X61, 0.00285714285714367)</f>
        <v>4.6838407494158524E-4</v>
      </c>
      <c r="AK61" s="68" t="e">
        <f t="shared" si="3"/>
        <v>#N/A</v>
      </c>
      <c r="AL61" s="68">
        <f>IF($Z$3="yes", -0.0303571428571436/$X61, -0.0303571428571436)</f>
        <v>-4.9765807962530492E-3</v>
      </c>
      <c r="AM61" s="68">
        <f>IF($Z$3="yes", 0.0171950000000036/$X61, 0.0171950000000036)</f>
        <v>2.8188524590169839E-3</v>
      </c>
      <c r="AN61" s="68">
        <f>IF($Z$3="yes", 0.874204999999992/$X61, 0.874204999999992)</f>
        <v>0.14331229508196591</v>
      </c>
      <c r="AO61" s="68">
        <f>IF($Z$3="yes", 0.291804999999993/$X61, 0.291804999999993)</f>
        <v>4.783688524590049E-2</v>
      </c>
      <c r="AP61" s="68">
        <f>IF($Z$3="yes", 1.55120499999999/$X61, 1.55120499999999)</f>
        <v>0.25429590163934263</v>
      </c>
      <c r="AQ61" s="68"/>
      <c r="AR61" s="68">
        <f>IF($Z$3="yes", 1.59245499999999/$X61, 1.59245499999999)</f>
        <v>0.26105819672130987</v>
      </c>
      <c r="AS61" s="68">
        <f>IF($Z$3="yes", 0.891399999999996/$X61, 0.891399999999996)</f>
        <v>0.14613114754098294</v>
      </c>
      <c r="AT61" s="68">
        <f>IF($Z$3="yes", 0.308999999999996/$X61, 0.308999999999996)</f>
        <v>5.0655737704917381E-2</v>
      </c>
      <c r="AU61" s="88">
        <f>IF($Z$3="yes", 1.56839999999999/$X61, 1.56839999999999)</f>
        <v>0.25711475409835904</v>
      </c>
      <c r="AV61" s="88"/>
      <c r="AW61" s="88">
        <f>IF($Z$3="yes", 1.60964999999999/$X61, 1.60964999999999)</f>
        <v>0.26387704918032623</v>
      </c>
      <c r="AX61" s="88">
        <f>IF($Z$3="yes", 0.582399999999999/$X61, 0.582399999999999)</f>
        <v>9.5475409836065422E-2</v>
      </c>
      <c r="AY61" s="88">
        <f>IF($Z$3="yes", 1.2594/$X61, 1.2594)</f>
        <v>0.20645901639344263</v>
      </c>
      <c r="AZ61" s="88"/>
      <c r="BA61" s="88">
        <f>IF($Z$3="yes", 1.30065/$X61, 1.30065)</f>
        <v>0.21322131147540987</v>
      </c>
      <c r="BB61" s="88">
        <f>IF($Z$3="yes", 0.677000000000003/$X61, 0.677000000000003)</f>
        <v>0.11098360655737756</v>
      </c>
      <c r="BC61" s="88"/>
      <c r="BD61" s="88">
        <f>IF($Z$3="yes", 0.718250000000002/$X61, 0.718250000000002)</f>
        <v>0.11774590163934461</v>
      </c>
      <c r="BE61" s="88"/>
      <c r="BF61" s="88">
        <f>IF($Z$3="yes", 0.0412499999999997/$X61, 0.0412499999999997)</f>
        <v>6.7622950819671637E-3</v>
      </c>
      <c r="BG61" s="88"/>
      <c r="BH61" s="88"/>
      <c r="BI61" s="68"/>
      <c r="BJ61" s="68"/>
      <c r="BK61" s="68">
        <f>IF($BL$3="yes", MAX(0, (185051 - 231640.4) / 59596.3721768364), 231640.4)</f>
        <v>231640.4</v>
      </c>
      <c r="BL61" s="68">
        <f>IF($BL$3="yes", MAX(0, (185051 - 197102.9) / 70518.9347146566), 197102.9)</f>
        <v>197102.9</v>
      </c>
      <c r="BM61" s="68">
        <f>IF($BL$3="yes", MAX(0, (185051 - 210059.35) / 81112.1027247321), 210059.35)</f>
        <v>210059.35</v>
      </c>
      <c r="BN61" s="68">
        <f>IF($BL$3="yes", MAX(0, (185051 - 178172.46) / 84724.8647022136), 178172.46)</f>
        <v>178172.46</v>
      </c>
      <c r="BO61" s="68">
        <f>IF($BL$3="yes", MAX(0, (185051 - 206000.06) / 152001.559406791), 206000.06)</f>
        <v>206000.06</v>
      </c>
      <c r="BP61" s="68">
        <f>IF($BL$3="yes", MAX(0, (185051 - 120783.895) / 168907.887178911), 120783.895)</f>
        <v>120783.895</v>
      </c>
      <c r="BQ61" s="68"/>
      <c r="BR61" s="68"/>
      <c r="BS61" s="68"/>
      <c r="BT61" s="68">
        <v>-275511.84373989498</v>
      </c>
      <c r="BU61" s="68">
        <v>-19735.958074637721</v>
      </c>
      <c r="BV61" s="68">
        <f>IF($Z$3="yes", 0.376692942344998/$X61, 0.376692942344998)</f>
        <v>6.1752941368032464E-2</v>
      </c>
      <c r="BW61" s="68">
        <f>IF($Z$3="yes", 0.557728509222275/$X61, 0.557728509222275)</f>
        <v>9.1430903151192636E-2</v>
      </c>
      <c r="BX61" s="68">
        <f>$BW$63 - $BV$63</f>
        <v>7.8214502003867287E-3</v>
      </c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81"/>
      <c r="CR61" s="81"/>
      <c r="CS61" s="68"/>
      <c r="CT61" s="68"/>
      <c r="CU61" s="68"/>
    </row>
    <row r="62" spans="1:99" ht="15.75" customHeight="1" thickBot="1" x14ac:dyDescent="0.3">
      <c r="A62" s="84"/>
      <c r="B62" s="67" t="s">
        <v>128</v>
      </c>
      <c r="C62" s="83" t="s">
        <v>290</v>
      </c>
      <c r="D62" s="67" t="s">
        <v>291</v>
      </c>
      <c r="E62" s="67">
        <v>2</v>
      </c>
      <c r="F62" s="85">
        <v>5.1100000000000003</v>
      </c>
      <c r="G62" s="313">
        <v>44361</v>
      </c>
      <c r="H62" s="317">
        <v>3.46</v>
      </c>
      <c r="I62" s="85">
        <v>5.38</v>
      </c>
      <c r="J62" s="313">
        <v>44372</v>
      </c>
      <c r="K62" s="110">
        <f t="shared" si="0"/>
        <v>-0.32289628180039143</v>
      </c>
      <c r="L62" s="111">
        <f t="shared" si="1"/>
        <v>5.2837573385518422E-2</v>
      </c>
      <c r="M62" s="312">
        <v>44407</v>
      </c>
      <c r="N62" s="68"/>
      <c r="O62" s="291">
        <v>9534014</v>
      </c>
      <c r="P62" s="291">
        <v>5810000</v>
      </c>
      <c r="Q62" s="291"/>
      <c r="R62" s="68" t="s">
        <v>152</v>
      </c>
      <c r="S62" s="68" t="s">
        <v>135</v>
      </c>
      <c r="T62" s="68" t="s">
        <v>292</v>
      </c>
      <c r="U62" s="68">
        <v>124</v>
      </c>
      <c r="V62" s="68">
        <v>223785</v>
      </c>
      <c r="W62" s="68"/>
      <c r="X62" s="68">
        <v>5.1100000000000003</v>
      </c>
      <c r="Y62" s="68">
        <v>4.9037310000000014</v>
      </c>
      <c r="Z62" s="68">
        <v>6.939899999999998</v>
      </c>
      <c r="AA62" s="68">
        <v>6.1601999999999979</v>
      </c>
      <c r="AB62" s="68">
        <v>7.2515999999999972</v>
      </c>
      <c r="AC62" s="68">
        <v>5.2374999999999998</v>
      </c>
      <c r="AD62" s="68" t="e">
        <v>#N/A</v>
      </c>
      <c r="AE62" s="68">
        <v>5.0325000000000024</v>
      </c>
      <c r="AF62" s="68">
        <f>IF($Z$3="yes", 0.030198920123003/$X62, 0.030198920123003)</f>
        <v>5.9097691043058708E-3</v>
      </c>
      <c r="AG62" s="68">
        <f>IF($Z$3="yes", -0.00531839183918375/$X62, -0.00531839183918375)</f>
        <v>-1.0407811818363502E-3</v>
      </c>
      <c r="AH62" s="68">
        <f>IF($Z$3="yes", -0.0568715486194459/$X62, -0.0568715486194459)</f>
        <v>-1.1129461569363189E-2</v>
      </c>
      <c r="AI62" s="68">
        <f>IF($Z$3="yes", -0.114126290516204/$X62, -0.114126290516204)</f>
        <v>-2.2333912038396086E-2</v>
      </c>
      <c r="AJ62" s="68">
        <f>IF($Z$3="yes", -0.0262030075187939/$X62, -0.0262030075187939)</f>
        <v>-5.1277901210946969E-3</v>
      </c>
      <c r="AK62" s="68" t="e">
        <f t="shared" si="3"/>
        <v>#N/A</v>
      </c>
      <c r="AL62" s="68">
        <f>IF($Z$3="yes", -0.00571428571428796/$X62, -0.00571428571428796)</f>
        <v>-1.1182555213870762E-3</v>
      </c>
      <c r="AM62" s="68">
        <f>IF($Z$3="yes", 2.03616899999999/$X62, 2.03616899999999)</f>
        <v>0.39846751467710173</v>
      </c>
      <c r="AN62" s="68">
        <f>IF($Z$3="yes", 1.25646899999999/$X62, 1.25646899999999)</f>
        <v>0.24588434442269863</v>
      </c>
      <c r="AO62" s="68">
        <f>IF($Z$3="yes", 2.34786899999999/$X62, 2.34786899999999)</f>
        <v>0.4594655577299393</v>
      </c>
      <c r="AP62" s="68">
        <f>IF($Z$3="yes", 0.333768999999999/$X62, 0.333768999999999)</f>
        <v>6.5316829745596661E-2</v>
      </c>
      <c r="AQ62" s="68"/>
      <c r="AR62" s="68">
        <f>IF($Z$3="yes", 0.128769000000001/$X62, 0.128769000000001)</f>
        <v>2.5199412915851465E-2</v>
      </c>
      <c r="AS62" s="68">
        <f>IF($Z$3="yes", 0.7797/$X62, 0.7797)</f>
        <v>0.1525831702544031</v>
      </c>
      <c r="AT62" s="68">
        <f>IF($Z$3="yes", 0.311699999999999/$X62, 0.311699999999999)</f>
        <v>6.0998043052837368E-2</v>
      </c>
      <c r="AU62" s="88">
        <f>IF($Z$3="yes", 1.70239999999999/$X62, 1.70239999999999)</f>
        <v>0.33315068493150485</v>
      </c>
      <c r="AV62" s="88"/>
      <c r="AW62" s="88">
        <f>IF($Z$3="yes", 1.90739999999999/$X62, 1.90739999999999)</f>
        <v>0.37326810176125047</v>
      </c>
      <c r="AX62" s="88">
        <f>IF($Z$3="yes", 1.09139999999999/$X62, 1.09139999999999)</f>
        <v>0.21358121330723873</v>
      </c>
      <c r="AY62" s="88">
        <f>IF($Z$3="yes", 2.01409999999999/$X62, 2.01409999999999)</f>
        <v>0.39414872798434242</v>
      </c>
      <c r="AZ62" s="88"/>
      <c r="BA62" s="88">
        <f>IF($Z$3="yes", 2.21909999999999/$X62, 2.21909999999999)</f>
        <v>0.43426614481408798</v>
      </c>
      <c r="BB62" s="88">
        <f>IF($Z$3="yes", 0.922699999999998/$X62, 0.922699999999998)</f>
        <v>0.1805675146771033</v>
      </c>
      <c r="BC62" s="88"/>
      <c r="BD62" s="88">
        <f>IF($Z$3="yes", 1.12769999999999/$X62, 1.12769999999999)</f>
        <v>0.22068493150684734</v>
      </c>
      <c r="BE62" s="88"/>
      <c r="BF62" s="88">
        <f>IF($Z$3="yes", 0.204999999999998/$X62, 0.204999999999998)</f>
        <v>4.0117416829745199E-2</v>
      </c>
      <c r="BG62" s="88"/>
      <c r="BH62" s="88"/>
      <c r="BI62" s="68"/>
      <c r="BJ62" s="68"/>
      <c r="BK62" s="68">
        <f>IF($BL$3="yes", MAX(0, (223785 - 249171.8) / 53615.9902954333), 249171.8)</f>
        <v>249171.8</v>
      </c>
      <c r="BL62" s="68">
        <f>IF($BL$3="yes", MAX(0, (223785 - 198995.4) / 66057.2425358491), 198995.4)</f>
        <v>198995.4</v>
      </c>
      <c r="BM62" s="68">
        <f>IF($BL$3="yes", MAX(0, (223785 - 229272.8) / 159048.625713836), 229272.8)</f>
        <v>229272.8</v>
      </c>
      <c r="BN62" s="68">
        <f>IF($BL$3="yes", MAX(0, (223785 - 731734.54) / 2074240.30597753), 731734.54)</f>
        <v>731734.54</v>
      </c>
      <c r="BO62" s="68">
        <f>IF($BL$3="yes", MAX(0, (223785 - 2095448.03) / 10474853.6318562), 2095448.03)</f>
        <v>2095448.03</v>
      </c>
      <c r="BP62" s="68">
        <f>IF($BL$3="yes", MAX(0, (223785 - 1251853.095) / 7554347.99701142), 1251853.095)</f>
        <v>1251853.095</v>
      </c>
      <c r="BQ62" s="68"/>
      <c r="BR62" s="68"/>
      <c r="BS62" s="68"/>
      <c r="BT62" s="68">
        <v>-239341.63582613671</v>
      </c>
      <c r="BU62" s="68">
        <v>-42930.214693383918</v>
      </c>
      <c r="BV62" s="68">
        <f>IF($Z$3="yes", 0.503690132184831/$X62, 0.503690132184831)</f>
        <v>9.8569497492139141E-2</v>
      </c>
      <c r="BW62" s="68">
        <f>IF($Z$3="yes", 0.954376374041361/$X62, 0.954376374041361)</f>
        <v>0.18676641370672425</v>
      </c>
      <c r="BX62" s="68">
        <f>$BW$66 - $BV$66</f>
        <v>4.8049480159126134E-2</v>
      </c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81"/>
      <c r="CR62" s="81"/>
      <c r="CS62" s="68"/>
      <c r="CT62" s="68"/>
      <c r="CU62" s="68"/>
    </row>
    <row r="63" spans="1:99" ht="15.75" customHeight="1" thickBot="1" x14ac:dyDescent="0.3">
      <c r="A63" s="84"/>
      <c r="B63" s="67" t="s">
        <v>128</v>
      </c>
      <c r="C63" s="83" t="s">
        <v>293</v>
      </c>
      <c r="D63" s="67" t="s">
        <v>294</v>
      </c>
      <c r="E63" s="67">
        <v>1</v>
      </c>
      <c r="F63" s="85">
        <v>3.24</v>
      </c>
      <c r="G63" s="313">
        <v>44361</v>
      </c>
      <c r="H63" s="317">
        <v>3.04</v>
      </c>
      <c r="I63" s="85">
        <v>3.96</v>
      </c>
      <c r="J63" s="313">
        <v>44369</v>
      </c>
      <c r="K63" s="108">
        <f t="shared" si="0"/>
        <v>-6.1728395061728447E-2</v>
      </c>
      <c r="L63" s="109">
        <f t="shared" si="1"/>
        <v>0.2222222222222221</v>
      </c>
      <c r="M63" s="312">
        <v>44407</v>
      </c>
      <c r="N63" s="68"/>
      <c r="O63" s="291">
        <v>9798261</v>
      </c>
      <c r="P63" s="291">
        <v>6200000</v>
      </c>
      <c r="Q63" s="291"/>
      <c r="R63" s="68" t="s">
        <v>131</v>
      </c>
      <c r="S63" s="68" t="s">
        <v>148</v>
      </c>
      <c r="T63" s="67" t="s">
        <v>271</v>
      </c>
      <c r="U63" s="68">
        <v>48</v>
      </c>
      <c r="V63" s="68">
        <v>42431</v>
      </c>
      <c r="W63" s="68"/>
      <c r="X63" s="68">
        <v>3.24</v>
      </c>
      <c r="Y63" s="68" t="e">
        <v>#N/A</v>
      </c>
      <c r="Z63" s="68">
        <v>3.3971640000000001</v>
      </c>
      <c r="AA63" s="68">
        <v>3.1783000000000019</v>
      </c>
      <c r="AB63" s="68">
        <v>3.262500000000002</v>
      </c>
      <c r="AC63" s="68">
        <v>3.157499999999998</v>
      </c>
      <c r="AD63" s="68" t="e">
        <v>#N/A</v>
      </c>
      <c r="AE63" s="68">
        <v>3.1375000000000002</v>
      </c>
      <c r="AF63" s="68" t="e">
        <f>IF($Z$3="yes", #N/A/$X63, #N/A)</f>
        <v>#N/A</v>
      </c>
      <c r="AG63" s="68">
        <f>IF($Z$3="yes", -0.00834909810981088/$X63, -0.00834909810981088)</f>
        <v>-2.5768821326576791E-3</v>
      </c>
      <c r="AH63" s="68">
        <f>IF($Z$3="yes", -0.00150084033613484/$X63, -0.00150084033613484)</f>
        <v>-4.6322232596754322E-4</v>
      </c>
      <c r="AI63" s="68">
        <f>IF($Z$3="yes", -0.00606122448979619/$X63, -0.00606122448979619)</f>
        <v>-1.8707482993198118E-3</v>
      </c>
      <c r="AJ63" s="68">
        <f>IF($Z$3="yes", -0.00100000000000049/$X63, -0.00100000000000049)</f>
        <v>-3.0864197530879322E-4</v>
      </c>
      <c r="AK63" s="68" t="e">
        <f t="shared" si="3"/>
        <v>#N/A</v>
      </c>
      <c r="AL63" s="68">
        <f>IF($Z$3="yes", 0.0414285714285713/$X63, 0.0414285714285713)</f>
        <v>1.2786596119929413E-2</v>
      </c>
      <c r="AM63" s="68"/>
      <c r="AN63" s="68"/>
      <c r="AO63" s="68"/>
      <c r="AP63" s="68"/>
      <c r="AQ63" s="68"/>
      <c r="AR63" s="68"/>
      <c r="AS63" s="68">
        <f>IF($Z$3="yes", 0.218863999999997/$X63, 0.218863999999997)</f>
        <v>6.755061728394969E-2</v>
      </c>
      <c r="AT63" s="68">
        <f>IF($Z$3="yes", 0.134663999999997/$X63, 0.134663999999997)</f>
        <v>4.1562962962962038E-2</v>
      </c>
      <c r="AU63" s="88">
        <f>IF($Z$3="yes", 0.239664000000002/$X63, 0.239664000000002)</f>
        <v>7.3970370370370978E-2</v>
      </c>
      <c r="AV63" s="88"/>
      <c r="AW63" s="88">
        <f>IF($Z$3="yes", 0.259664/$X63, 0.259664)</f>
        <v>8.0143209876543206E-2</v>
      </c>
      <c r="AX63" s="88">
        <f>IF($Z$3="yes", 0.0842/$X63, 0.0842)</f>
        <v>2.5987654320987652E-2</v>
      </c>
      <c r="AY63" s="88">
        <f>IF($Z$3="yes", 0.105000000000004/$X63, 0.105000000000004)</f>
        <v>3.2407407407408641E-2</v>
      </c>
      <c r="AZ63" s="88"/>
      <c r="BA63" s="88">
        <f>IF($Z$3="yes", 0.125000000000002/$X63, 0.125000000000002)</f>
        <v>3.8580246913580862E-2</v>
      </c>
      <c r="BB63" s="88">
        <f>IF($Z$3="yes", 0.0208000000000043/$X63, 0.0208000000000043)</f>
        <v>6.4197530864210798E-3</v>
      </c>
      <c r="BC63" s="88"/>
      <c r="BD63" s="88">
        <f>IF($Z$3="yes", 0.0408000000000026/$X63, 0.0408000000000026)</f>
        <v>1.2592592592593394E-2</v>
      </c>
      <c r="BE63" s="88"/>
      <c r="BF63" s="88">
        <f>IF($Z$3="yes", 0.0199999999999982/$X63, 0.0199999999999982)</f>
        <v>6.1728395061722832E-3</v>
      </c>
      <c r="BG63" s="88"/>
      <c r="BH63" s="88"/>
      <c r="BI63" s="68"/>
      <c r="BJ63" s="68"/>
      <c r="BK63" s="68">
        <f>IF($BL$3="yes", MAX(0, (42431 - 62583.4) / 44184.0484093524), 62583.4)</f>
        <v>62583.4</v>
      </c>
      <c r="BL63" s="68">
        <f>IF($BL$3="yes", MAX(0, (42431 - 67546.9) / 38913.1207600983), 67546.9)</f>
        <v>67546.899999999994</v>
      </c>
      <c r="BM63" s="68">
        <f>IF($BL$3="yes", MAX(0, (42431 - 515720.95) / 1545334.33902028), 515720.95)</f>
        <v>515720.95</v>
      </c>
      <c r="BN63" s="68">
        <f>IF($BL$3="yes", MAX(0, (42431 - 223856.76) / 1006132.00133136), 223856.76)</f>
        <v>223856.76</v>
      </c>
      <c r="BO63" s="68">
        <f>IF($BL$3="yes", MAX(0, (42431 - 160145.72) / 726992.011285599), 160145.72)</f>
        <v>160145.72</v>
      </c>
      <c r="BP63" s="68">
        <f>IF($BL$3="yes", MAX(0, (42431 - 169145.751879699) / 675932.024973308), 169145.751879699)</f>
        <v>169145.751879699</v>
      </c>
      <c r="BQ63" s="68"/>
      <c r="BR63" s="68"/>
      <c r="BS63" s="68"/>
      <c r="BT63" s="68">
        <v>116808.60230497269</v>
      </c>
      <c r="BU63" s="68">
        <v>19091.76585128743</v>
      </c>
      <c r="BV63" s="68">
        <f>IF($Z$3="yes", 0.272144035597909/$X63, 0.272144035597909)</f>
        <v>8.3995072715404004E-2</v>
      </c>
      <c r="BW63" s="68">
        <f>IF($Z$3="yes", 0.297485534247162/$X63, 0.297485534247162)</f>
        <v>9.1816522915790733E-2</v>
      </c>
      <c r="BX63" s="68">
        <f>$BW$65 - $BV$65</f>
        <v>3.8843310418130134E-2</v>
      </c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81"/>
      <c r="CR63" s="81"/>
      <c r="CS63" s="68"/>
      <c r="CT63" s="68"/>
      <c r="CU63" s="68"/>
    </row>
    <row r="64" spans="1:99" ht="15.75" customHeight="1" thickBot="1" x14ac:dyDescent="0.3">
      <c r="A64" s="84"/>
      <c r="B64" s="67" t="s">
        <v>128</v>
      </c>
      <c r="C64" s="83" t="s">
        <v>295</v>
      </c>
      <c r="D64" s="67" t="s">
        <v>296</v>
      </c>
      <c r="E64" s="67">
        <v>1</v>
      </c>
      <c r="F64" s="85">
        <v>2.85</v>
      </c>
      <c r="G64" s="313">
        <v>44361</v>
      </c>
      <c r="H64" s="317">
        <v>1.89</v>
      </c>
      <c r="I64" s="85">
        <v>2.9</v>
      </c>
      <c r="J64" s="313">
        <v>44364</v>
      </c>
      <c r="K64" s="113">
        <f t="shared" si="0"/>
        <v>-0.33684210526315794</v>
      </c>
      <c r="L64" s="87">
        <f t="shared" si="1"/>
        <v>1.754385964912264E-2</v>
      </c>
      <c r="M64" s="312">
        <v>44407</v>
      </c>
      <c r="N64" s="68"/>
      <c r="O64" s="291">
        <v>16357784</v>
      </c>
      <c r="P64" s="291">
        <v>7540000</v>
      </c>
      <c r="Q64" s="291"/>
      <c r="R64" s="68" t="s">
        <v>152</v>
      </c>
      <c r="S64" s="68" t="s">
        <v>157</v>
      </c>
      <c r="T64" s="68" t="s">
        <v>297</v>
      </c>
      <c r="U64" s="68">
        <v>184</v>
      </c>
      <c r="V64" s="68">
        <v>118333</v>
      </c>
      <c r="W64" s="68"/>
      <c r="X64" s="68">
        <v>2.85</v>
      </c>
      <c r="Y64" s="68">
        <v>3.2738079999999989</v>
      </c>
      <c r="Z64" s="68">
        <v>2.8463490000000009</v>
      </c>
      <c r="AA64" s="68">
        <v>2.7012980000000009</v>
      </c>
      <c r="AB64" s="68">
        <v>2.704698</v>
      </c>
      <c r="AC64" s="68">
        <v>2.7072500000000002</v>
      </c>
      <c r="AD64" s="68" t="e">
        <v>#N/A</v>
      </c>
      <c r="AE64" s="68">
        <v>2.7437499999999999</v>
      </c>
      <c r="AF64" s="68">
        <f>IF($Z$3="yes", -0.0102497359933998/$X64, -0.0102497359933998)</f>
        <v>-3.596398594175368E-3</v>
      </c>
      <c r="AG64" s="68">
        <f>IF($Z$3="yes", -0.00646312451245128/$X64, -0.00646312451245128)</f>
        <v>-2.2677629868250106E-3</v>
      </c>
      <c r="AH64" s="68">
        <f>IF($Z$3="yes", 0.00346243937575064/$X64, 0.00346243937575064)</f>
        <v>1.2148910090353123E-3</v>
      </c>
      <c r="AI64" s="68">
        <f>IF($Z$3="yes", 0.00076318367346987/$X64, 0.00076318367346987)</f>
        <v>2.6778374507714734E-4</v>
      </c>
      <c r="AJ64" s="68">
        <f>IF($Z$3="yes", 0.00795112781954996/$X64, 0.00795112781954996)</f>
        <v>2.7898694103684067E-3</v>
      </c>
      <c r="AK64" s="68" t="e">
        <f t="shared" si="3"/>
        <v>#N/A</v>
      </c>
      <c r="AL64" s="68">
        <f>IF($Z$3="yes", 0.0472619047619047/$X64, 0.0472619047619047)</f>
        <v>1.6583124477861297E-2</v>
      </c>
      <c r="AM64" s="68">
        <f>IF($Z$3="yes", 0.427458999999998/$X64, 0.427458999999998)</f>
        <v>0.14998561403508701</v>
      </c>
      <c r="AN64" s="68">
        <f>IF($Z$3="yes", 0.572509999999998/$X64, 0.572509999999998)</f>
        <v>0.20088070175438524</v>
      </c>
      <c r="AO64" s="68">
        <f>IF($Z$3="yes", 0.569109999999999/$X64, 0.569109999999999)</f>
        <v>0.19968771929824525</v>
      </c>
      <c r="AP64" s="68">
        <f>IF($Z$3="yes", 0.566557999999998/$X64, 0.566557999999998)</f>
        <v>0.19879228070175367</v>
      </c>
      <c r="AQ64" s="68"/>
      <c r="AR64" s="68">
        <f>IF($Z$3="yes", 0.530057999999998/$X64, 0.530057999999998)</f>
        <v>0.18598526315789404</v>
      </c>
      <c r="AS64" s="68">
        <f>IF($Z$3="yes", 0.145051/$X64, 0.145051)</f>
        <v>5.0895087719298251E-2</v>
      </c>
      <c r="AT64" s="68">
        <f>IF($Z$3="yes", 0.141651000000001/$X64, 0.141651000000001)</f>
        <v>4.9702105263158242E-2</v>
      </c>
      <c r="AU64" s="88">
        <f>IF($Z$3="yes", 0.139099/$X64, 0.139099)</f>
        <v>4.8806666666666665E-2</v>
      </c>
      <c r="AV64" s="88"/>
      <c r="AW64" s="88">
        <f>IF($Z$3="yes", 0.102599/$X64, 0.102599)</f>
        <v>3.5999649122807016E-2</v>
      </c>
      <c r="AX64" s="88">
        <f>IF($Z$3="yes", 0.00339999999999873/$X64, 0.00339999999999873)</f>
        <v>1.1929824561399051E-3</v>
      </c>
      <c r="AY64" s="88">
        <f>IF($Z$3="yes", 0.00255200000000055/$X64, 0.00255200000000055)</f>
        <v>8.9543859649142095E-4</v>
      </c>
      <c r="AZ64" s="88"/>
      <c r="BA64" s="88">
        <f>IF($Z$3="yes", 0.0390520000000007/$X64, 0.0390520000000007)</f>
        <v>1.3702456140351121E-2</v>
      </c>
      <c r="BB64" s="88">
        <f>IF($Z$3="yes", 0.00595199999999929/$X64, 0.00595199999999929)</f>
        <v>2.0884210526313299E-3</v>
      </c>
      <c r="BC64" s="88"/>
      <c r="BD64" s="88">
        <f>IF($Z$3="yes", 0.0424519999999994/$X64, 0.0424519999999994)</f>
        <v>1.4895438596491017E-2</v>
      </c>
      <c r="BE64" s="88"/>
      <c r="BF64" s="88">
        <f>IF($Z$3="yes", 0.0365000000000002/$X64, 0.0365000000000002)</f>
        <v>1.2807017543859718E-2</v>
      </c>
      <c r="BG64" s="88"/>
      <c r="BH64" s="88"/>
      <c r="BI64" s="68"/>
      <c r="BJ64" s="68"/>
      <c r="BK64" s="68">
        <f>IF($BL$3="yes", MAX(0, (118333 - 119280.2) / 28577.8801131224), 119280.2)</f>
        <v>119280.2</v>
      </c>
      <c r="BL64" s="68">
        <f>IF($BL$3="yes", MAX(0, (118333 - 123761.8) / 24783.4656365892), 123761.8)</f>
        <v>123761.8</v>
      </c>
      <c r="BM64" s="68">
        <f>IF($BL$3="yes", MAX(0, (118333 - 142146.1) / 80121.0125902687), 142146.1)</f>
        <v>142146.1</v>
      </c>
      <c r="BN64" s="68">
        <f>IF($BL$3="yes", MAX(0, (118333 - 144994.12) / 64229.6488729745), 144994.12)</f>
        <v>144994.12</v>
      </c>
      <c r="BO64" s="68">
        <f>IF($BL$3="yes", MAX(0, (118333 - 226531.65) / 210537.393475333), 226531.65)</f>
        <v>226531.65</v>
      </c>
      <c r="BP64" s="68">
        <f>IF($BL$3="yes", MAX(0, (118333 - 180770.889375) / 180501.727359333), 180770.889375)</f>
        <v>180770.889375</v>
      </c>
      <c r="BQ64" s="68"/>
      <c r="BR64" s="68"/>
      <c r="BS64" s="68"/>
      <c r="BT64" s="68">
        <v>-66040.391697224011</v>
      </c>
      <c r="BU64" s="68">
        <v>-12221.259377797331</v>
      </c>
      <c r="BV64" s="68">
        <f>IF($Z$3="yes", 0.207368742922079/$X64, 0.207368742922079)</f>
        <v>7.2760962428799647E-2</v>
      </c>
      <c r="BW64" s="68">
        <f>IF($Z$3="yes", 0.269465386896072/$X64, 0.269465386896072)</f>
        <v>9.4549258560025273E-2</v>
      </c>
      <c r="BX64" s="68">
        <f>$BW$69 - $BV$69</f>
        <v>2.01290134649319E-2</v>
      </c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81"/>
      <c r="CR64" s="81"/>
      <c r="CS64" s="68"/>
      <c r="CT64" s="68"/>
      <c r="CU64" s="68"/>
    </row>
    <row r="65" spans="1:99" ht="15.75" customHeight="1" thickBot="1" x14ac:dyDescent="0.3">
      <c r="A65" s="84"/>
      <c r="B65" s="67" t="s">
        <v>128</v>
      </c>
      <c r="C65" s="83" t="s">
        <v>298</v>
      </c>
      <c r="D65" s="67" t="s">
        <v>299</v>
      </c>
      <c r="E65" s="67">
        <v>2</v>
      </c>
      <c r="F65" s="85">
        <v>3.45</v>
      </c>
      <c r="G65" s="313">
        <v>44361</v>
      </c>
      <c r="H65" s="317">
        <v>1.89</v>
      </c>
      <c r="I65" s="85">
        <v>3.45</v>
      </c>
      <c r="J65" s="67"/>
      <c r="K65" s="104">
        <f t="shared" si="0"/>
        <v>-0.45217391304347831</v>
      </c>
      <c r="L65" s="100">
        <f t="shared" si="1"/>
        <v>0</v>
      </c>
      <c r="M65" s="312">
        <v>44407</v>
      </c>
      <c r="N65" s="68"/>
      <c r="O65" s="291">
        <v>6333333</v>
      </c>
      <c r="P65" s="291">
        <v>8710000</v>
      </c>
      <c r="Q65" s="291"/>
      <c r="R65" s="68" t="s">
        <v>152</v>
      </c>
      <c r="S65" s="68" t="s">
        <v>132</v>
      </c>
      <c r="T65" s="67" t="s">
        <v>214</v>
      </c>
      <c r="U65" s="68">
        <v>416</v>
      </c>
      <c r="V65" s="68">
        <v>6373773</v>
      </c>
      <c r="W65" s="68"/>
      <c r="X65" s="68">
        <v>3.45</v>
      </c>
      <c r="Y65" s="68">
        <v>4.6291649999999986</v>
      </c>
      <c r="Z65" s="68">
        <v>3.8083000000000018</v>
      </c>
      <c r="AA65" s="68">
        <v>3.549599999999999</v>
      </c>
      <c r="AB65" s="68">
        <v>3.6778</v>
      </c>
      <c r="AC65" s="68">
        <v>3.3715000000000002</v>
      </c>
      <c r="AD65" s="68" t="e">
        <v>#N/A</v>
      </c>
      <c r="AE65" s="68">
        <v>3.4249999999999998</v>
      </c>
      <c r="AF65" s="68">
        <f>IF($Z$3="yes", -0.0168037917947947/$X65, -0.0168037917947947)</f>
        <v>-4.8706642883462898E-3</v>
      </c>
      <c r="AG65" s="68">
        <f>IF($Z$3="yes", -0.00912553255325546/$X65, -0.00912553255325546)</f>
        <v>-2.6450818994943359E-3</v>
      </c>
      <c r="AH65" s="68">
        <f>IF($Z$3="yes", -0.00942713085234093/$X65, -0.00942713085234093)</f>
        <v>-2.7325016963307041E-3</v>
      </c>
      <c r="AI65" s="68">
        <f>IF($Z$3="yes", -0.0151726290516205/$X65, -0.0151726290516205)</f>
        <v>-4.397863493223333E-3</v>
      </c>
      <c r="AJ65" s="68">
        <f>IF($Z$3="yes", 0.00569172932330832/$X65, 0.00569172932330832)</f>
        <v>1.6497766154516867E-3</v>
      </c>
      <c r="AK65" s="68" t="e">
        <f t="shared" si="3"/>
        <v>#N/A</v>
      </c>
      <c r="AL65" s="68">
        <f>IF($Z$3="yes", 0.00976190476190535/$X65, 0.00976190476190535)</f>
        <v>2.8295376121464781E-3</v>
      </c>
      <c r="AM65" s="68">
        <f>IF($Z$3="yes", 0.820864999999996/$X65, 0.820864999999996)</f>
        <v>0.23793188405796983</v>
      </c>
      <c r="AN65" s="68">
        <f>IF($Z$3="yes", 1.07956499999999/$X65, 1.07956499999999)</f>
        <v>0.31291739130434487</v>
      </c>
      <c r="AO65" s="68">
        <f>IF($Z$3="yes", 0.951364999999998/$X65, 0.951364999999998)</f>
        <v>0.27575797101449218</v>
      </c>
      <c r="AP65" s="68">
        <f>IF($Z$3="yes", 1.25766499999999/$X65, 1.25766499999999)</f>
        <v>0.36454057971014203</v>
      </c>
      <c r="AQ65" s="68"/>
      <c r="AR65" s="68">
        <f>IF($Z$3="yes", 1.20416499999999/$X65, 1.20416499999999)</f>
        <v>0.34903333333333042</v>
      </c>
      <c r="AS65" s="68">
        <f>IF($Z$3="yes", 0.258700000000002/$X65, 0.258700000000002)</f>
        <v>7.4985507246377384E-2</v>
      </c>
      <c r="AT65" s="68">
        <f>IF($Z$3="yes", 0.130500000000002/$X65, 0.130500000000002)</f>
        <v>3.7826086956522315E-2</v>
      </c>
      <c r="AU65" s="88">
        <f>IF($Z$3="yes", 0.436800000000002/$X65, 0.436800000000002)</f>
        <v>0.1266086956521745</v>
      </c>
      <c r="AV65" s="88"/>
      <c r="AW65" s="88">
        <f>IF($Z$3="yes", 0.383300000000002/$X65, 0.383300000000002)</f>
        <v>0.11110144927536289</v>
      </c>
      <c r="AX65" s="88">
        <f>IF($Z$3="yes", 0.1282/$X65, 0.1282)</f>
        <v>3.7159420289855076E-2</v>
      </c>
      <c r="AY65" s="88">
        <f>IF($Z$3="yes", 0.3063/$X65, 0.3063)</f>
        <v>8.8782608695652174E-2</v>
      </c>
      <c r="AZ65" s="88"/>
      <c r="BA65" s="88">
        <f>IF($Z$3="yes", 0.2528/$X65, 0.2528)</f>
        <v>7.3275362318840589E-2</v>
      </c>
      <c r="BB65" s="88">
        <f>IF($Z$3="yes", 0.178099999999999/$X65, 0.178099999999999)</f>
        <v>5.1623188405796813E-2</v>
      </c>
      <c r="BC65" s="88"/>
      <c r="BD65" s="88">
        <f>IF($Z$3="yes", 0.124599999999999/$X65, 0.124599999999999)</f>
        <v>3.6115942028985215E-2</v>
      </c>
      <c r="BE65" s="88"/>
      <c r="BF65" s="88">
        <f>IF($Z$3="yes", 0.0535000000000001/$X65, 0.0535000000000001)</f>
        <v>1.5507246376811622E-2</v>
      </c>
      <c r="BG65" s="88"/>
      <c r="BH65" s="88"/>
      <c r="BI65" s="68"/>
      <c r="BJ65" s="68"/>
      <c r="BK65" s="68">
        <f>IF($BL$3="yes", MAX(0, (6373773 - 2247025.4) / 2187333.47455925), 2247025.4)</f>
        <v>2247025.4</v>
      </c>
      <c r="BL65" s="68">
        <f>IF($BL$3="yes", MAX(0, (6373773 - 1464775.8) / 1744367.70169782), 1464775.8)</f>
        <v>1464775.8</v>
      </c>
      <c r="BM65" s="68">
        <f>IF($BL$3="yes", MAX(0, (6373773 - 1222559.15) / 1383284.38348256), 1222559.15)</f>
        <v>1222559.1499999999</v>
      </c>
      <c r="BN65" s="68">
        <f>IF($BL$3="yes", MAX(0, (6373773 - 981767.52) / 1114702.00331814), 981767.52)</f>
        <v>981767.52</v>
      </c>
      <c r="BO65" s="68">
        <f>IF($BL$3="yes", MAX(0, (6373773 - 2645504.02) / 11591135.9261791), 2645504.02)</f>
        <v>2645504.02</v>
      </c>
      <c r="BP65" s="68">
        <f>IF($BL$3="yes", MAX(0, (6373773 - 1396825.205) / 8295580.65673167), 1396825.205)</f>
        <v>1396825.2050000001</v>
      </c>
      <c r="BQ65" s="68"/>
      <c r="BR65" s="68"/>
      <c r="BS65" s="68"/>
      <c r="BT65" s="68">
        <v>-5039870.7618172755</v>
      </c>
      <c r="BU65" s="68">
        <v>-1667826.508015651</v>
      </c>
      <c r="BV65" s="68">
        <f>IF($Z$3="yes", 0.242090763242645/$X65, 0.242090763242645)</f>
        <v>7.017123572250579E-2</v>
      </c>
      <c r="BW65" s="68">
        <f>IF($Z$3="yes", 0.376100184185194/$X65, 0.376100184185194)</f>
        <v>0.10901454614063592</v>
      </c>
      <c r="BX65" s="68">
        <f>$BW$292 - $BV$292</f>
        <v>0</v>
      </c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81"/>
      <c r="CR65" s="81"/>
      <c r="CS65" s="68"/>
      <c r="CT65" s="68"/>
      <c r="CU65" s="68"/>
    </row>
    <row r="66" spans="1:99" ht="15.75" customHeight="1" thickBot="1" x14ac:dyDescent="0.3">
      <c r="A66" s="84"/>
      <c r="B66" s="67" t="s">
        <v>128</v>
      </c>
      <c r="C66" s="83" t="s">
        <v>300</v>
      </c>
      <c r="D66" s="67" t="s">
        <v>301</v>
      </c>
      <c r="E66" s="67">
        <v>1</v>
      </c>
      <c r="F66" s="85">
        <v>1.21</v>
      </c>
      <c r="G66" s="313">
        <v>44361</v>
      </c>
      <c r="H66" s="317">
        <v>0.99960000000000004</v>
      </c>
      <c r="I66" s="317">
        <v>1.2882</v>
      </c>
      <c r="J66" s="313">
        <v>44375</v>
      </c>
      <c r="K66" s="114">
        <f t="shared" si="0"/>
        <v>-0.17388429752066115</v>
      </c>
      <c r="L66" s="114">
        <f t="shared" si="1"/>
        <v>6.4628099173553721E-2</v>
      </c>
      <c r="M66" s="312">
        <v>44407</v>
      </c>
      <c r="N66" s="68"/>
      <c r="O66" s="291">
        <v>23149112</v>
      </c>
      <c r="P66" s="291">
        <v>21550000</v>
      </c>
      <c r="Q66" s="291">
        <v>14</v>
      </c>
      <c r="R66" s="68" t="s">
        <v>131</v>
      </c>
      <c r="S66" s="68" t="s">
        <v>148</v>
      </c>
      <c r="T66" s="68" t="s">
        <v>154</v>
      </c>
      <c r="U66" s="68">
        <v>220</v>
      </c>
      <c r="V66" s="68">
        <v>398032</v>
      </c>
      <c r="W66" s="68"/>
      <c r="X66" s="68">
        <v>1.21</v>
      </c>
      <c r="Y66" s="68">
        <v>1.1177735</v>
      </c>
      <c r="Z66" s="68">
        <v>1.5037269999999989</v>
      </c>
      <c r="AA66" s="68">
        <v>1.2725</v>
      </c>
      <c r="AB66" s="68">
        <v>1.3718999999999999</v>
      </c>
      <c r="AC66" s="68">
        <v>1.2140000000000011</v>
      </c>
      <c r="AD66" s="68" t="e">
        <v>#N/A</v>
      </c>
      <c r="AE66" s="68">
        <v>1.23</v>
      </c>
      <c r="AF66" s="68">
        <f>IF($Z$3="yes", 0.00490417392934822/$X66, 0.00490417392934822)</f>
        <v>4.053036305246463E-3</v>
      </c>
      <c r="AG66" s="68">
        <f>IF($Z$3="yes", -0.00587455805580548/$X66, -0.00587455805580548)</f>
        <v>-4.8550066576904796E-3</v>
      </c>
      <c r="AH66" s="68">
        <f>IF($Z$3="yes", -0.00509171668667458/$X66, -0.00509171668667458)</f>
        <v>-4.2080303195657686E-3</v>
      </c>
      <c r="AI66" s="68">
        <f>IF($Z$3="yes", -0.0128626650660262/$X66, -0.0128626650660262)</f>
        <v>-1.0630301707459671E-2</v>
      </c>
      <c r="AJ66" s="68">
        <f>IF($Z$3="yes", 0.00269172932330753/$X66, 0.00269172932330753)</f>
        <v>2.224569688683909E-3</v>
      </c>
      <c r="AK66" s="68" t="e">
        <f t="shared" si="3"/>
        <v>#N/A</v>
      </c>
      <c r="AL66" s="68">
        <f>IF($Z$3="yes", 0.000714285714285741/$X66, 0.000714285714285741)</f>
        <v>5.9031877213697604E-4</v>
      </c>
      <c r="AM66" s="68">
        <f>IF($Z$3="yes", 0.385953499999998/$X66, 0.385953499999998)</f>
        <v>0.31896983471074214</v>
      </c>
      <c r="AN66" s="68">
        <f>IF($Z$3="yes", 0.1547265/$X66, 0.1547265)</f>
        <v>0.12787314049586776</v>
      </c>
      <c r="AO66" s="68">
        <f>IF($Z$3="yes", 0.254126499999999/$X66, 0.254126499999999)</f>
        <v>0.21002190082644545</v>
      </c>
      <c r="AP66" s="68">
        <f>IF($Z$3="yes", 0.0962265000000006/$X66, 0.0962265000000006)</f>
        <v>7.9526033057851747E-2</v>
      </c>
      <c r="AQ66" s="68"/>
      <c r="AR66" s="68">
        <f>IF($Z$3="yes", 0.112226499999999/$X66, 0.112226499999999)</f>
        <v>9.2749173553718173E-2</v>
      </c>
      <c r="AS66" s="68">
        <f>IF($Z$3="yes", 0.231226999999998/$X66, 0.231226999999998)</f>
        <v>0.19109669421487438</v>
      </c>
      <c r="AT66" s="68">
        <f>IF($Z$3="yes", 0.131826999999998/$X66, 0.131826999999998)</f>
        <v>0.10894793388429587</v>
      </c>
      <c r="AU66" s="88">
        <f>IF($Z$3="yes", 0.289726999999997/$X66, 0.289726999999997)</f>
        <v>0.23944380165289011</v>
      </c>
      <c r="AV66" s="88"/>
      <c r="AW66" s="88">
        <f>IF($Z$3="yes", 0.273726999999998/$X66, 0.273726999999998)</f>
        <v>0.22622066115702313</v>
      </c>
      <c r="AX66" s="88">
        <f>IF($Z$3="yes", 0.0993999999999994/$X66, 0.0993999999999994)</f>
        <v>8.2148760330578025E-2</v>
      </c>
      <c r="AY66" s="88">
        <f>IF($Z$3="yes", 0.157899999999999/$X66, 0.157899999999999)</f>
        <v>0.13049586776859423</v>
      </c>
      <c r="AZ66" s="88"/>
      <c r="BA66" s="88">
        <f>IF($Z$3="yes", 0.1419/$X66, 0.1419)</f>
        <v>0.11727272727272728</v>
      </c>
      <c r="BB66" s="88">
        <f>IF($Z$3="yes", 0.0584999999999995/$X66, 0.0584999999999995)</f>
        <v>4.8347107438016117E-2</v>
      </c>
      <c r="BC66" s="88"/>
      <c r="BD66" s="88">
        <f>IF($Z$3="yes", 0.0425000000000006/$X66, 0.0425000000000006)</f>
        <v>3.5123966942149254E-2</v>
      </c>
      <c r="BE66" s="88"/>
      <c r="BF66" s="88">
        <f>IF($Z$3="yes", 0.0159999999999989/$X66, 0.0159999999999989)</f>
        <v>1.3223140495866861E-2</v>
      </c>
      <c r="BG66" s="88"/>
      <c r="BH66" s="88"/>
      <c r="BI66" s="68"/>
      <c r="BJ66" s="68"/>
      <c r="BK66" s="68">
        <f>IF($BL$3="yes", MAX(0, (398032 - 508898.4) / 128234.378742363), 508898.4)</f>
        <v>508898.4</v>
      </c>
      <c r="BL66" s="68">
        <f>IF($BL$3="yes", MAX(0, (398032 - 612950.2) / 184883.588386205), 612950.2)</f>
        <v>612950.19999999995</v>
      </c>
      <c r="BM66" s="68">
        <f>IF($BL$3="yes", MAX(0, (398032 - 500447.35) / 207433.065982565), 500447.35)</f>
        <v>500447.35</v>
      </c>
      <c r="BN66" s="68">
        <f>IF($BL$3="yes", MAX(0, (398032 - 656091.44) / 438016.693940135), 656091.44)</f>
        <v>656091.43999999994</v>
      </c>
      <c r="BO66" s="68">
        <f>IF($BL$3="yes", MAX(0, (398032 - 5625800.68) / 25970125.3103109), 5625800.68)</f>
        <v>5625800.6799999997</v>
      </c>
      <c r="BP66" s="68">
        <f>IF($BL$3="yes", MAX(0, (398032 - 3925125.51) / 18551567.1495946), 3925125.51)</f>
        <v>3925125.51</v>
      </c>
      <c r="BQ66" s="68"/>
      <c r="BR66" s="68"/>
      <c r="BS66" s="68"/>
      <c r="BT66" s="68">
        <v>-1631644.995864535</v>
      </c>
      <c r="BU66" s="68">
        <v>-363880.19325431483</v>
      </c>
      <c r="BV66" s="68">
        <f>IF($Z$3="yes", 0.0837766423291684/$X66, 0.0837766423291684)</f>
        <v>6.9236894486916029E-2</v>
      </c>
      <c r="BW66" s="68">
        <f>IF($Z$3="yes", 0.141916513321711/$X66, 0.141916513321711)</f>
        <v>0.11728637464604216</v>
      </c>
      <c r="BX66" s="68">
        <f>$BW$70 - $BV$70</f>
        <v>5.0914106496651637E-2</v>
      </c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81"/>
      <c r="CR66" s="81"/>
      <c r="CS66" s="68"/>
      <c r="CT66" s="68"/>
      <c r="CU66" s="68"/>
    </row>
    <row r="67" spans="1:99" ht="15.75" customHeight="1" thickBot="1" x14ac:dyDescent="0.3">
      <c r="A67" s="84"/>
      <c r="B67" s="67" t="s">
        <v>128</v>
      </c>
      <c r="C67" s="83" t="s">
        <v>302</v>
      </c>
      <c r="D67" s="67" t="s">
        <v>303</v>
      </c>
      <c r="E67" s="67">
        <v>2</v>
      </c>
      <c r="F67" s="85">
        <v>1.25</v>
      </c>
      <c r="G67" s="313">
        <v>44361</v>
      </c>
      <c r="H67" s="317">
        <v>1.22</v>
      </c>
      <c r="I67" s="317">
        <v>1.58</v>
      </c>
      <c r="J67" s="313">
        <v>44383</v>
      </c>
      <c r="K67" s="87">
        <f t="shared" si="0"/>
        <v>-2.4000000000000021E-2</v>
      </c>
      <c r="L67" s="89">
        <f t="shared" si="1"/>
        <v>0.26400000000000001</v>
      </c>
      <c r="M67" s="312">
        <v>44407</v>
      </c>
      <c r="N67" s="68"/>
      <c r="O67" s="291">
        <v>32037547</v>
      </c>
      <c r="P67" s="291">
        <v>24970000</v>
      </c>
      <c r="Q67" s="291">
        <v>17</v>
      </c>
      <c r="R67" s="68" t="s">
        <v>131</v>
      </c>
      <c r="S67" s="68" t="s">
        <v>148</v>
      </c>
      <c r="T67" s="68" t="s">
        <v>304</v>
      </c>
      <c r="U67" s="68">
        <v>184</v>
      </c>
      <c r="V67" s="68">
        <v>296136</v>
      </c>
      <c r="W67" s="68"/>
      <c r="X67" s="68">
        <v>1.25</v>
      </c>
      <c r="Y67" s="68">
        <v>1.310238999999999</v>
      </c>
      <c r="Z67" s="68">
        <v>1.4336759999999991</v>
      </c>
      <c r="AA67" s="68">
        <v>1.2631520000000001</v>
      </c>
      <c r="AB67" s="68">
        <v>1.2995519999999989</v>
      </c>
      <c r="AC67" s="68">
        <v>1.22438</v>
      </c>
      <c r="AD67" s="68" t="e">
        <v>#N/A</v>
      </c>
      <c r="AE67" s="68">
        <v>1.2524999999999999</v>
      </c>
      <c r="AF67" s="68">
        <f>IF($Z$3="yes", 0.00145828125703147/$X67, 0.00145828125703147)</f>
        <v>1.166625005625176E-3</v>
      </c>
      <c r="AG67" s="68">
        <f>IF($Z$3="yes", -0.00605205400540049/$X67, -0.00605205400540049)</f>
        <v>-4.8416432043203918E-3</v>
      </c>
      <c r="AH67" s="68">
        <f>IF($Z$3="yes", -0.00293324369747873/$X67, -0.00293324369747873)</f>
        <v>-2.3465949579829842E-3</v>
      </c>
      <c r="AI67" s="68">
        <f>IF($Z$3="yes", -0.00581381992797097/$X67, -0.00581381992797097)</f>
        <v>-4.6510559423767759E-3</v>
      </c>
      <c r="AJ67" s="68">
        <f>IF($Z$3="yes", 0.00532120300751858/$X67, 0.00532120300751858)</f>
        <v>4.2569624060148645E-3</v>
      </c>
      <c r="AK67" s="68" t="e">
        <f t="shared" si="3"/>
        <v>#N/A</v>
      </c>
      <c r="AL67" s="68">
        <f>IF($Z$3="yes", 0.000952380952380932/$X67, 0.000952380952380932)</f>
        <v>7.6190476190474555E-4</v>
      </c>
      <c r="AM67" s="68">
        <f>IF($Z$3="yes", 0.123436999999999/$X67, 0.123436999999999)</f>
        <v>9.8749599999999202E-2</v>
      </c>
      <c r="AN67" s="68">
        <f>IF($Z$3="yes", 0.0470869999999998/$X67, 0.0470869999999998)</f>
        <v>3.7669599999999845E-2</v>
      </c>
      <c r="AO67" s="68">
        <f>IF($Z$3="yes", 0.0106870000000007/$X67, 0.0106870000000007)</f>
        <v>8.5496000000005595E-3</v>
      </c>
      <c r="AP67" s="68">
        <f>IF($Z$3="yes", 0.0858589999999994/$X67, 0.0858589999999994)</f>
        <v>6.8687199999999518E-2</v>
      </c>
      <c r="AQ67" s="68"/>
      <c r="AR67" s="68">
        <f>IF($Z$3="yes", 0.0577389999999995/$X67, 0.0577389999999995)</f>
        <v>4.6191199999999599E-2</v>
      </c>
      <c r="AS67" s="68">
        <f>IF($Z$3="yes", 0.170523999999999/$X67, 0.170523999999999)</f>
        <v>0.13641919999999921</v>
      </c>
      <c r="AT67" s="68">
        <f>IF($Z$3="yes", 0.134124/$X67, 0.134124)</f>
        <v>0.1072992</v>
      </c>
      <c r="AU67" s="88">
        <f>IF($Z$3="yes", 0.209295999999999/$X67, 0.209295999999999)</f>
        <v>0.16743679999999922</v>
      </c>
      <c r="AV67" s="88"/>
      <c r="AW67" s="88">
        <f>IF($Z$3="yes", 0.181175999999999/$X67, 0.181175999999999)</f>
        <v>0.1449407999999992</v>
      </c>
      <c r="AX67" s="88">
        <f>IF($Z$3="yes", 0.0363999999999991/$X67, 0.0363999999999991)</f>
        <v>2.9119999999999278E-2</v>
      </c>
      <c r="AY67" s="88">
        <f>IF($Z$3="yes", 0.0751719999999986/$X67, 0.0751719999999986)</f>
        <v>6.0137599999998882E-2</v>
      </c>
      <c r="AZ67" s="88"/>
      <c r="BA67" s="88">
        <f>IF($Z$3="yes", 0.0470519999999987/$X67, 0.0470519999999987)</f>
        <v>3.7641599999998956E-2</v>
      </c>
      <c r="BB67" s="88">
        <f>IF($Z$3="yes", 0.0387719999999995/$X67, 0.0387719999999995)</f>
        <v>3.10175999999996E-2</v>
      </c>
      <c r="BC67" s="88"/>
      <c r="BD67" s="88">
        <f>IF($Z$3="yes", 0.0106519999999996/$X67, 0.0106519999999996)</f>
        <v>8.5215999999996798E-3</v>
      </c>
      <c r="BE67" s="88"/>
      <c r="BF67" s="88">
        <f>IF($Z$3="yes", 0.0281199999999999/$X67, 0.0281199999999999)</f>
        <v>2.2495999999999919E-2</v>
      </c>
      <c r="BG67" s="88"/>
      <c r="BH67" s="88"/>
      <c r="BI67" s="68"/>
      <c r="BJ67" s="68"/>
      <c r="BK67" s="68">
        <f>IF($BL$3="yes", MAX(0, (296136 - 160986.4) / 73529.0627945168), 160986.4)</f>
        <v>160986.4</v>
      </c>
      <c r="BL67" s="68">
        <f>IF($BL$3="yes", MAX(0, (296136 - 131830.7) / 63753.3645340385), 131830.7)</f>
        <v>131830.70000000001</v>
      </c>
      <c r="BM67" s="68">
        <f>IF($BL$3="yes", MAX(0, (296136 - 154021.15) / 82943.4299967604), 154021.15)</f>
        <v>154021.15</v>
      </c>
      <c r="BN67" s="68">
        <f>IF($BL$3="yes", MAX(0, (296136 - 642229.5) / 2581003.75457483), 642229.5)</f>
        <v>642229.5</v>
      </c>
      <c r="BO67" s="68">
        <f>IF($BL$3="yes", MAX(0, (296136 - 748242.71) / 1926718.5420834), 748242.71)</f>
        <v>748242.71</v>
      </c>
      <c r="BP67" s="68">
        <f>IF($BL$3="yes", MAX(0, (296136 - 643016.59) / 1986951.10675669), 643016.59)</f>
        <v>643016.59</v>
      </c>
      <c r="BQ67" s="68"/>
      <c r="BR67" s="68"/>
      <c r="BS67" s="68"/>
      <c r="BT67" s="68">
        <v>-420416.88095238089</v>
      </c>
      <c r="BU67" s="68">
        <v>-100917.3595234466</v>
      </c>
      <c r="BV67" s="68">
        <f>IF($Z$3="yes", 0.0675075006912883/$X67, 0.0675075006912883)</f>
        <v>5.4006000553030641E-2</v>
      </c>
      <c r="BW67" s="68">
        <f>IF($Z$3="yes", 0.103730219773192/$X67, 0.103730219773192)</f>
        <v>8.2984175818553593E-2</v>
      </c>
      <c r="BX67" s="68">
        <f>$BW$67 - $BV$67</f>
        <v>2.8978175265522953E-2</v>
      </c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81"/>
      <c r="CR67" s="81"/>
      <c r="CS67" s="68"/>
      <c r="CT67" s="68"/>
      <c r="CU67" s="68"/>
    </row>
    <row r="68" spans="1:99" ht="15.75" customHeight="1" thickBot="1" x14ac:dyDescent="0.3">
      <c r="A68" s="84"/>
      <c r="B68" s="67" t="s">
        <v>128</v>
      </c>
      <c r="C68" s="83" t="s">
        <v>305</v>
      </c>
      <c r="D68" s="67" t="s">
        <v>306</v>
      </c>
      <c r="E68" s="67">
        <v>2</v>
      </c>
      <c r="F68" s="85">
        <v>1.29</v>
      </c>
      <c r="G68" s="313">
        <v>44361</v>
      </c>
      <c r="H68" s="317">
        <v>0.98</v>
      </c>
      <c r="I68" s="85">
        <v>1.29</v>
      </c>
      <c r="J68" s="67"/>
      <c r="K68" s="112">
        <f t="shared" si="0"/>
        <v>-0.24031007751937983</v>
      </c>
      <c r="L68" s="100">
        <f t="shared" si="1"/>
        <v>0</v>
      </c>
      <c r="M68" s="312">
        <v>44407</v>
      </c>
      <c r="N68" s="68"/>
      <c r="O68" s="291">
        <v>36843045</v>
      </c>
      <c r="P68" s="291">
        <v>32230000</v>
      </c>
      <c r="Q68" s="291"/>
      <c r="R68" s="68" t="s">
        <v>131</v>
      </c>
      <c r="S68" s="68" t="s">
        <v>148</v>
      </c>
      <c r="T68" s="68" t="s">
        <v>154</v>
      </c>
      <c r="U68" s="68">
        <v>292</v>
      </c>
      <c r="V68" s="68">
        <v>1712460</v>
      </c>
      <c r="W68" s="68"/>
      <c r="X68" s="68">
        <v>1.29</v>
      </c>
      <c r="Y68" s="68">
        <v>1.3290005</v>
      </c>
      <c r="Z68" s="68">
        <v>1.6511999999999989</v>
      </c>
      <c r="AA68" s="68">
        <v>1.4370000000000009</v>
      </c>
      <c r="AB68" s="68">
        <v>1.5878000000000001</v>
      </c>
      <c r="AC68" s="68">
        <v>1.2450000000000001</v>
      </c>
      <c r="AD68" s="68" t="e">
        <v>#N/A</v>
      </c>
      <c r="AE68" s="68">
        <v>1.2725</v>
      </c>
      <c r="AF68" s="68">
        <f>IF($Z$3="yes", 0.00382865709142729/$X68, 0.00382865709142729)</f>
        <v>2.9679512336645655E-3</v>
      </c>
      <c r="AG68" s="68">
        <f>IF($Z$3="yes", -0.00611293129312922/$X68, -0.00611293129312922)</f>
        <v>-4.7387064287823409E-3</v>
      </c>
      <c r="AH68" s="68">
        <f>IF($Z$3="yes", -0.0167140456182473/$X68, -0.0167140456182473)</f>
        <v>-1.2956624510269224E-2</v>
      </c>
      <c r="AI68" s="68">
        <f>IF($Z$3="yes", -0.023094837935174/$X68, -0.023094837935174)</f>
        <v>-1.7902975143545736E-2</v>
      </c>
      <c r="AJ68" s="68">
        <f>IF($Z$3="yes", 0.00491729323308309/$X68, 0.00491729323308309)</f>
        <v>3.8118552194442556E-3</v>
      </c>
      <c r="AK68" s="68" t="e">
        <f t="shared" si="3"/>
        <v>#N/A</v>
      </c>
      <c r="AL68" s="68">
        <f>IF($Z$3="yes", 0.00761904761904745/$X68, 0.00761904761904745)</f>
        <v>5.906238464377868E-3</v>
      </c>
      <c r="AM68" s="68">
        <f>IF($Z$3="yes", 0.322199499999998/$X68, 0.322199499999998)</f>
        <v>0.24976705426356433</v>
      </c>
      <c r="AN68" s="68">
        <f>IF($Z$3="yes", 0.1079995/$X68, 0.1079995)</f>
        <v>8.3720542635658909E-2</v>
      </c>
      <c r="AO68" s="68">
        <f>IF($Z$3="yes", 0.2587995/$X68, 0.2587995)</f>
        <v>0.20061976744186047</v>
      </c>
      <c r="AP68" s="68">
        <f>IF($Z$3="yes", 0.0840005000000001/$X68, 0.0840005000000001)</f>
        <v>6.5116666666666739E-2</v>
      </c>
      <c r="AQ68" s="68"/>
      <c r="AR68" s="68">
        <f>IF($Z$3="yes", 0.0565005000000002/$X68, 0.0565005000000002)</f>
        <v>4.3798837209302485E-2</v>
      </c>
      <c r="AS68" s="68">
        <f>IF($Z$3="yes", 0.214199999999998/$X68, 0.214199999999998)</f>
        <v>0.16604651162790543</v>
      </c>
      <c r="AT68" s="68">
        <f>IF($Z$3="yes", 0.0633999999999985/$X68, 0.0633999999999985)</f>
        <v>4.9147286821704259E-2</v>
      </c>
      <c r="AU68" s="88">
        <f>IF($Z$3="yes", 0.406199999999998/$X68, 0.406199999999998)</f>
        <v>0.31488372093023098</v>
      </c>
      <c r="AV68" s="88"/>
      <c r="AW68" s="88">
        <f>IF($Z$3="yes", 0.378699999999998/$X68, 0.378699999999998)</f>
        <v>0.29356589147286666</v>
      </c>
      <c r="AX68" s="88">
        <f>IF($Z$3="yes", 0.150799999999999/$X68, 0.150799999999999)</f>
        <v>0.11689922480620077</v>
      </c>
      <c r="AY68" s="88">
        <f>IF($Z$3="yes", 0.3428/$X68, 0.3428)</f>
        <v>0.2657364341085271</v>
      </c>
      <c r="AZ68" s="88"/>
      <c r="BA68" s="88">
        <f>IF($Z$3="yes", 0.3153/$X68, 0.3153)</f>
        <v>0.2444186046511628</v>
      </c>
      <c r="BB68" s="88">
        <f>IF($Z$3="yes", 0.192/$X68, 0.192)</f>
        <v>0.14883720930232558</v>
      </c>
      <c r="BC68" s="88"/>
      <c r="BD68" s="88">
        <f>IF($Z$3="yes", 0.1645/$X68, 0.1645)</f>
        <v>0.12751937984496126</v>
      </c>
      <c r="BE68" s="88"/>
      <c r="BF68" s="88">
        <f>IF($Z$3="yes", 0.0274999999999998/$X68, 0.0274999999999998)</f>
        <v>2.1317829457364185E-2</v>
      </c>
      <c r="BG68" s="88"/>
      <c r="BH68" s="88"/>
      <c r="BI68" s="68"/>
      <c r="BJ68" s="68"/>
      <c r="BK68" s="68">
        <f>IF($BL$3="yes", MAX(0, (1712460 - 1703879.8) / 408826.797910019), 1703879.8)</f>
        <v>1703879.8</v>
      </c>
      <c r="BL68" s="68">
        <f>IF($BL$3="yes", MAX(0, (1712460 - 1353829.4) / 479673.482448258), 1353829.4)</f>
        <v>1353829.4</v>
      </c>
      <c r="BM68" s="68">
        <f>IF($BL$3="yes", MAX(0, (1712460 - 1299915.75) / 587987.491396872), 1299915.75)</f>
        <v>1299915.75</v>
      </c>
      <c r="BN68" s="68">
        <f>IF($BL$3="yes", MAX(0, (1712460 - 1694631.9) / 1265212.23874853), 1694631.9)</f>
        <v>1694631.9</v>
      </c>
      <c r="BO68" s="68">
        <f>IF($BL$3="yes", MAX(0, (1712460 - 5161290.43) / 6940938.61155224), 5161290.43)</f>
        <v>5161290.43</v>
      </c>
      <c r="BP68" s="68">
        <f>IF($BL$3="yes", MAX(0, (1712460 - 3673079.055) / 5969836.25761073), 3673079.055)</f>
        <v>3673079.0550000002</v>
      </c>
      <c r="BQ68" s="68"/>
      <c r="BR68" s="68"/>
      <c r="BS68" s="68"/>
      <c r="BT68" s="68">
        <v>-30383.454910218741</v>
      </c>
      <c r="BU68" s="68">
        <v>62850.462642443003</v>
      </c>
      <c r="BV68" s="68">
        <f>IF($Z$3="yes", 0.114238659765385/$X68, 0.114238659765385)</f>
        <v>8.8557100593321697E-2</v>
      </c>
      <c r="BW68" s="68">
        <f>IF($Z$3="yes", 0.199511008144048/$X68, 0.199511008144048)</f>
        <v>0.15465969623569614</v>
      </c>
      <c r="BX68" s="68">
        <f>$BW$68 - $BV$68</f>
        <v>6.6102595642374445E-2</v>
      </c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81"/>
      <c r="CR68" s="81"/>
      <c r="CS68" s="68"/>
      <c r="CT68" s="68"/>
      <c r="CU68" s="68"/>
    </row>
    <row r="69" spans="1:99" ht="15.75" customHeight="1" thickBot="1" x14ac:dyDescent="0.3">
      <c r="A69" s="84"/>
      <c r="B69" s="67" t="s">
        <v>128</v>
      </c>
      <c r="C69" s="83" t="s">
        <v>307</v>
      </c>
      <c r="D69" s="67" t="s">
        <v>308</v>
      </c>
      <c r="E69" s="67">
        <v>1</v>
      </c>
      <c r="F69" s="85">
        <v>0.99</v>
      </c>
      <c r="G69" s="313">
        <v>44361</v>
      </c>
      <c r="H69" s="317">
        <v>0.71</v>
      </c>
      <c r="I69" s="85">
        <v>0.99</v>
      </c>
      <c r="J69" s="67"/>
      <c r="K69" s="107">
        <f t="shared" si="0"/>
        <v>-0.28282828282828287</v>
      </c>
      <c r="L69" s="100">
        <f t="shared" si="1"/>
        <v>0</v>
      </c>
      <c r="M69" s="312">
        <v>44407</v>
      </c>
      <c r="N69" s="68"/>
      <c r="O69" s="291">
        <v>84096012</v>
      </c>
      <c r="P69" s="291">
        <v>41410000</v>
      </c>
      <c r="Q69" s="291"/>
      <c r="R69" s="68" t="s">
        <v>152</v>
      </c>
      <c r="S69" s="68" t="s">
        <v>309</v>
      </c>
      <c r="T69" s="68" t="s">
        <v>140</v>
      </c>
      <c r="U69" s="68">
        <v>32</v>
      </c>
      <c r="V69" s="68">
        <v>126909</v>
      </c>
      <c r="W69" s="68"/>
      <c r="X69" s="68">
        <v>0.98819999999999997</v>
      </c>
      <c r="Y69" s="68">
        <v>1.528218499999999</v>
      </c>
      <c r="Z69" s="68">
        <v>1.211372000000001</v>
      </c>
      <c r="AA69" s="68">
        <v>1.0185440000000019</v>
      </c>
      <c r="AB69" s="68">
        <v>1.0464880000000021</v>
      </c>
      <c r="AC69" s="68">
        <v>0.95243499999999992</v>
      </c>
      <c r="AD69" s="68" t="e">
        <v>#N/A</v>
      </c>
      <c r="AE69" s="68">
        <v>0.969225</v>
      </c>
      <c r="AF69" s="68">
        <f>IF($Z$3="yes", -0.0047209596489912/$X69, -0.0047209596489912)</f>
        <v>-4.7773321685804487E-3</v>
      </c>
      <c r="AG69" s="68">
        <f>IF($Z$3="yes", -0.00806812601260132/$X69, -0.00806812601260132)</f>
        <v>-8.1644667198960928E-3</v>
      </c>
      <c r="AH69" s="68">
        <f>IF($Z$3="yes", -0.0028102376950787/$X69, -0.0028102376950787)</f>
        <v>-2.8437944698226068E-3</v>
      </c>
      <c r="AI69" s="68">
        <f>IF($Z$3="yes", -0.00319879951980849/$X69, -0.00319879951980849)</f>
        <v>-3.2369960734755011E-3</v>
      </c>
      <c r="AJ69" s="68">
        <f>IF($Z$3="yes", 0.00198142857142881/$X69, 0.00198142857142881)</f>
        <v>2.0050886171107166E-3</v>
      </c>
      <c r="AK69" s="68" t="e">
        <f t="shared" si="3"/>
        <v>#N/A</v>
      </c>
      <c r="AL69" s="68">
        <f>IF($Z$3="yes", 0.00420476190476157/$X69, 0.00420476190476157)</f>
        <v>4.2549705573381603E-3</v>
      </c>
      <c r="AM69" s="68">
        <f>IF($Z$3="yes", 0.316846499999998/$X69, 0.316846499999998)</f>
        <v>0.32062993321189837</v>
      </c>
      <c r="AN69" s="68">
        <f>IF($Z$3="yes", 0.509674499999997/$X69, 0.509674499999997)</f>
        <v>0.51576047358833943</v>
      </c>
      <c r="AO69" s="68">
        <f>IF($Z$3="yes", 0.481730499999997/$X69, 0.481730499999997)</f>
        <v>0.48748279700465191</v>
      </c>
      <c r="AP69" s="68">
        <f>IF($Z$3="yes", 0.575783499999999/$X69, 0.575783499999999)</f>
        <v>0.58265887472171529</v>
      </c>
      <c r="AQ69" s="68"/>
      <c r="AR69" s="68">
        <f>IF($Z$3="yes", 0.558993499999999/$X69, 0.558993499999999)</f>
        <v>0.56566838696620025</v>
      </c>
      <c r="AS69" s="68">
        <f>IF($Z$3="yes", 0.192827999999998/$X69, 0.192827999999998)</f>
        <v>0.19513054037644001</v>
      </c>
      <c r="AT69" s="68">
        <f>IF($Z$3="yes", 0.164883999999998/$X69, 0.164883999999998)</f>
        <v>0.16685286379275249</v>
      </c>
      <c r="AU69" s="88">
        <f>IF($Z$3="yes", 0.258937/$X69, 0.258937)</f>
        <v>0.26202894150981582</v>
      </c>
      <c r="AV69" s="88"/>
      <c r="AW69" s="88">
        <f>IF($Z$3="yes", 0.242147/$X69, 0.242147)</f>
        <v>0.24503845375430075</v>
      </c>
      <c r="AX69" s="88">
        <f>IF($Z$3="yes", 0.0279439999999999/$X69, 0.0279439999999999)</f>
        <v>2.8277676583687412E-2</v>
      </c>
      <c r="AY69" s="88">
        <f>IF($Z$3="yes", 0.0940530000000019/$X69, 0.0940530000000019)</f>
        <v>9.5176077717063254E-2</v>
      </c>
      <c r="AZ69" s="88"/>
      <c r="BA69" s="88">
        <f>IF($Z$3="yes", 0.0772630000000018/$X69, 0.0772630000000018)</f>
        <v>7.8185589961548077E-2</v>
      </c>
      <c r="BB69" s="88">
        <f>IF($Z$3="yes", 0.0661090000000019/$X69, 0.0661090000000019)</f>
        <v>6.6898401133375737E-2</v>
      </c>
      <c r="BC69" s="88"/>
      <c r="BD69" s="88">
        <f>IF($Z$3="yes", 0.0493190000000018/$X69, 0.0493190000000018)</f>
        <v>4.9907913377860554E-2</v>
      </c>
      <c r="BE69" s="88"/>
      <c r="BF69" s="88">
        <f>IF($Z$3="yes", 0.01679/$X69, 0.01679)</f>
        <v>1.6990487755515076E-2</v>
      </c>
      <c r="BG69" s="88"/>
      <c r="BH69" s="88"/>
      <c r="BI69" s="68"/>
      <c r="BJ69" s="68"/>
      <c r="BK69" s="68">
        <f>IF($BL$3="yes", MAX(0, (126909 - 161330) / 72889.2933591758), 161330)</f>
        <v>161330</v>
      </c>
      <c r="BL69" s="68">
        <f>IF($BL$3="yes", MAX(0, (126909 - 146873.7) / 61247.9911099947), 146873.7)</f>
        <v>146873.70000000001</v>
      </c>
      <c r="BM69" s="68">
        <f>IF($BL$3="yes", MAX(0, (126909 - 174871.45) / 98443.2779226062), 174871.45)</f>
        <v>174871.45</v>
      </c>
      <c r="BN69" s="68">
        <f>IF($BL$3="yes", MAX(0, (126909 - 183391.78) / 119189.48297317), 183391.78)</f>
        <v>183391.78</v>
      </c>
      <c r="BO69" s="68">
        <f>IF($BL$3="yes", MAX(0, (126909 - 303104.03) / 424297.55966966), 303104.03)</f>
        <v>303104.03000000003</v>
      </c>
      <c r="BP69" s="68">
        <f>IF($BL$3="yes", MAX(0, (126909 - 228131.895) / 338574.859278157), 228131.895)</f>
        <v>228131.89499999999</v>
      </c>
      <c r="BQ69" s="68"/>
      <c r="BR69" s="68"/>
      <c r="BS69" s="68"/>
      <c r="BT69" s="68">
        <v>400043.14790453261</v>
      </c>
      <c r="BU69" s="68">
        <v>70843.686379020626</v>
      </c>
      <c r="BV69" s="68">
        <f>IF($Z$3="yes", 0.0469904476950252/$X69, 0.0469904476950252)</f>
        <v>4.7551556056491806E-2</v>
      </c>
      <c r="BW69" s="68">
        <f>IF($Z$3="yes", 0.0668819388010709/$X69, 0.0668819388010709)</f>
        <v>6.7680569521423706E-2</v>
      </c>
      <c r="BX69" s="68">
        <f>$BW$64 - $BV$64</f>
        <v>2.1788296131225626E-2</v>
      </c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81"/>
      <c r="CR69" s="81"/>
      <c r="CS69" s="68"/>
      <c r="CT69" s="68"/>
      <c r="CU69" s="68"/>
    </row>
    <row r="70" spans="1:99" ht="15.75" customHeight="1" thickBot="1" x14ac:dyDescent="0.3">
      <c r="A70" s="84" t="s">
        <v>310</v>
      </c>
      <c r="B70" s="67" t="s">
        <v>128</v>
      </c>
      <c r="C70" s="83" t="s">
        <v>311</v>
      </c>
      <c r="D70" s="67" t="s">
        <v>312</v>
      </c>
      <c r="E70" s="67">
        <v>1</v>
      </c>
      <c r="F70" s="85">
        <v>7.36</v>
      </c>
      <c r="G70" s="313">
        <v>44361</v>
      </c>
      <c r="H70" s="317">
        <v>5.16</v>
      </c>
      <c r="I70" s="317">
        <v>10.38</v>
      </c>
      <c r="J70" s="313">
        <v>44378</v>
      </c>
      <c r="K70" s="100">
        <f t="shared" ref="K70:K133" si="4">IF(AND(F70&lt;&gt;"",H70&lt;&gt;""), (H70/F70)-100%, "")</f>
        <v>-0.29891304347826086</v>
      </c>
      <c r="L70" s="105">
        <f t="shared" ref="L70:L133" si="5">IF(AND(F70&lt;&gt;"",I70&lt;&gt;""), (I70/F70)-100%, "")</f>
        <v>0.41032608695652173</v>
      </c>
      <c r="M70" s="312">
        <v>44407</v>
      </c>
      <c r="N70" s="68"/>
      <c r="O70" s="291">
        <v>25000000</v>
      </c>
      <c r="P70" s="291"/>
      <c r="Q70" s="291">
        <v>14</v>
      </c>
      <c r="R70" s="68" t="s">
        <v>152</v>
      </c>
      <c r="S70" s="68" t="s">
        <v>192</v>
      </c>
      <c r="T70" s="68" t="s">
        <v>313</v>
      </c>
      <c r="U70" s="68">
        <v>148</v>
      </c>
      <c r="V70" s="68">
        <v>1934838</v>
      </c>
      <c r="W70" s="68"/>
      <c r="X70" s="68">
        <v>7.36</v>
      </c>
      <c r="Y70" s="68" t="e">
        <v>#N/A</v>
      </c>
      <c r="Z70" s="68">
        <v>11.371800000000009</v>
      </c>
      <c r="AA70" s="68">
        <v>8.0882000000000041</v>
      </c>
      <c r="AB70" s="68">
        <v>8.8638000000000066</v>
      </c>
      <c r="AC70" s="68">
        <v>6.9800000000000013</v>
      </c>
      <c r="AD70" s="68" t="e">
        <v>#N/A</v>
      </c>
      <c r="AE70" s="68">
        <v>6.8962500000000002</v>
      </c>
      <c r="AF70" s="68" t="e">
        <f>IF($Z$3="yes", #N/A/$X70, #N/A)</f>
        <v>#N/A</v>
      </c>
      <c r="AG70" s="68">
        <f>IF($Z$3="yes", -0.140642424242424/$X70, -0.140642424242424)</f>
        <v>-1.9109025032938043E-2</v>
      </c>
      <c r="AH70" s="68">
        <f>IF($Z$3="yes", -0.0789699879952/$X70, -0.0789699879952)</f>
        <v>-1.0729617934130435E-2</v>
      </c>
      <c r="AI70" s="68">
        <f>IF($Z$3="yes", -0.0976513805522228/$X70, -0.0976513805522228)</f>
        <v>-1.3267850618508532E-2</v>
      </c>
      <c r="AJ70" s="68">
        <f>IF($Z$3="yes", -0.0103007518797017/$X70, -0.0103007518797017)</f>
        <v>-1.3995586793072961E-3</v>
      </c>
      <c r="AK70" s="68" t="e">
        <f t="shared" si="3"/>
        <v>#N/A</v>
      </c>
      <c r="AL70" s="68">
        <f>IF($Z$3="yes", 0.0624999999999993/$X70, 0.0624999999999993)</f>
        <v>8.4918478260868607E-3</v>
      </c>
      <c r="AM70" s="68"/>
      <c r="AN70" s="68"/>
      <c r="AO70" s="68"/>
      <c r="AP70" s="68"/>
      <c r="AQ70" s="68"/>
      <c r="AR70" s="68"/>
      <c r="AS70" s="68">
        <f>IF($Z$3="yes", 3.2836/$X70, 3.2836)</f>
        <v>0.44614130434782606</v>
      </c>
      <c r="AT70" s="68">
        <f>IF($Z$3="yes", 2.508/$X70, 2.508)</f>
        <v>0.34076086956521739</v>
      </c>
      <c r="AU70" s="88">
        <f>IF($Z$3="yes", 4.3918/$X70, 4.3918)</f>
        <v>0.59671195652173914</v>
      </c>
      <c r="AV70" s="88"/>
      <c r="AW70" s="88">
        <f>IF($Z$3="yes", 4.47555/$X70, 4.47555)</f>
        <v>0.60809103260869568</v>
      </c>
      <c r="AX70" s="88">
        <f>IF($Z$3="yes", 0.775600000000002/$X70, 0.775600000000002)</f>
        <v>0.10538043478260896</v>
      </c>
      <c r="AY70" s="88">
        <f>IF($Z$3="yes", 1.8838/$X70, 1.8838)</f>
        <v>0.25595108695652169</v>
      </c>
      <c r="AZ70" s="88"/>
      <c r="BA70" s="88">
        <f>IF($Z$3="yes", 1.96755/$X70, 1.96755)</f>
        <v>0.26733016304347823</v>
      </c>
      <c r="BB70" s="88">
        <f>IF($Z$3="yes", 1.1082/$X70, 1.1082)</f>
        <v>0.15057065217391305</v>
      </c>
      <c r="BC70" s="88"/>
      <c r="BD70" s="88">
        <f>IF($Z$3="yes", 1.19195/$X70, 1.19195)</f>
        <v>0.16194972826086956</v>
      </c>
      <c r="BE70" s="88"/>
      <c r="BF70" s="88">
        <f>IF($Z$3="yes", 0.0837500000000011/$X70, 0.0837500000000011)</f>
        <v>1.1379076086956671E-2</v>
      </c>
      <c r="BG70" s="88"/>
      <c r="BH70" s="88"/>
      <c r="BI70" s="68"/>
      <c r="BJ70" s="68"/>
      <c r="BK70" s="68">
        <f>IF($BL$3="yes", MAX(0, (1934838 - 955965) / 505493.350328963), 955965)</f>
        <v>955965</v>
      </c>
      <c r="BL70" s="68">
        <f>IF($BL$3="yes", MAX(0, (1934838 - 1121121.3) / 648835.098336095), 1121121.3)</f>
        <v>1121121.3</v>
      </c>
      <c r="BM70" s="68">
        <f>IF($BL$3="yes", MAX(0, (1934838 - 806390.95) / 580637.524853111), 806390.95)</f>
        <v>806390.95</v>
      </c>
      <c r="BN70" s="68">
        <f>IF($BL$3="yes", MAX(0, (1934838 - 687802.54) / 560223.892462298), 687802.54)</f>
        <v>687802.54</v>
      </c>
      <c r="BO70" s="68">
        <f>IF($BL$3="yes", MAX(0, (1934838 - 1264287.51) / 2583127.76268095), 1264287.51)</f>
        <v>1264287.51</v>
      </c>
      <c r="BP70" s="68">
        <f>IF($BL$3="yes", MAX(0, (1934838 - 1147253.42741935) / 2366464.15388026), 1147253.42741935)</f>
        <v>1147253.42741935</v>
      </c>
      <c r="BQ70" s="68"/>
      <c r="BR70" s="68"/>
      <c r="BS70" s="68"/>
      <c r="BT70" s="68">
        <v>-1118412.685806267</v>
      </c>
      <c r="BU70" s="68">
        <v>273065.90572765609</v>
      </c>
      <c r="BV70" s="68">
        <f>IF($Z$3="yes", 0.689441716725004/$X70, 0.689441716725004)</f>
        <v>9.3674146294158142E-2</v>
      </c>
      <c r="BW70" s="68">
        <f>IF($Z$3="yes", 1.06416954054036/$X70, 1.06416954054036)</f>
        <v>0.14458825279080978</v>
      </c>
      <c r="BX70" s="68">
        <f>$BW$62 - $BV$62</f>
        <v>8.8196916214585114E-2</v>
      </c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81"/>
      <c r="CR70" s="81"/>
      <c r="CS70" s="68"/>
      <c r="CT70" s="68"/>
      <c r="CU70" s="68"/>
    </row>
    <row r="71" spans="1:99" ht="15.75" customHeight="1" thickBot="1" x14ac:dyDescent="0.3">
      <c r="A71" s="84"/>
      <c r="B71" s="67" t="s">
        <v>128</v>
      </c>
      <c r="C71" s="83" t="s">
        <v>314</v>
      </c>
      <c r="D71" s="67" t="s">
        <v>315</v>
      </c>
      <c r="E71" s="67">
        <v>3</v>
      </c>
      <c r="F71" s="85">
        <v>1.73</v>
      </c>
      <c r="G71" s="313">
        <v>44357</v>
      </c>
      <c r="H71" s="317">
        <v>1.35</v>
      </c>
      <c r="I71" s="85">
        <v>1.9</v>
      </c>
      <c r="J71" s="313">
        <v>44372</v>
      </c>
      <c r="K71" s="105">
        <f t="shared" si="4"/>
        <v>-0.21965317919075134</v>
      </c>
      <c r="L71" s="115">
        <f t="shared" si="5"/>
        <v>9.8265895953757232E-2</v>
      </c>
      <c r="M71" s="312">
        <v>44407</v>
      </c>
      <c r="N71" s="68"/>
      <c r="O71" s="291">
        <v>24426993</v>
      </c>
      <c r="P71" s="291">
        <v>22840000</v>
      </c>
      <c r="Q71" s="291">
        <v>15</v>
      </c>
      <c r="R71" s="68" t="s">
        <v>131</v>
      </c>
      <c r="S71" s="68" t="s">
        <v>148</v>
      </c>
      <c r="T71" s="67" t="s">
        <v>271</v>
      </c>
      <c r="U71" s="68">
        <v>184</v>
      </c>
      <c r="V71" s="68">
        <v>426284</v>
      </c>
      <c r="W71" s="68"/>
      <c r="X71" s="68">
        <v>1.73</v>
      </c>
      <c r="Y71" s="68">
        <v>2.2946120000000012</v>
      </c>
      <c r="Z71" s="68">
        <v>2.9191840000000009</v>
      </c>
      <c r="AA71" s="68">
        <v>1.7351999999999981</v>
      </c>
      <c r="AB71" s="68">
        <v>1.921199999999998</v>
      </c>
      <c r="AC71" s="68">
        <v>1.6054999999999999</v>
      </c>
      <c r="AD71" s="68">
        <v>1.6150000000000011</v>
      </c>
      <c r="AE71" s="68">
        <v>1.6675</v>
      </c>
      <c r="AF71" s="68">
        <f>IF($Z$3="yes", 0.00547748713717834/$X71, 0.00547748713717834)</f>
        <v>3.1661775359412372E-3</v>
      </c>
      <c r="AG71" s="68">
        <f>IF($Z$3="yes", -0.0461532505250525/$X71, -0.0461532505250525)</f>
        <v>-2.6678179494250002E-2</v>
      </c>
      <c r="AH71" s="68">
        <f>IF($Z$3="yes", -0.0107303721488589/$X71, -0.0107303721488589)</f>
        <v>-6.202527253675664E-3</v>
      </c>
      <c r="AI71" s="68">
        <f>IF($Z$3="yes", -0.0246136854741892/$X71, -0.0246136854741892)</f>
        <v>-1.4227563857912833E-2</v>
      </c>
      <c r="AJ71" s="68">
        <f>IF($Z$3="yes", 0.00782706766917254/$X71, 0.00782706766917254)</f>
        <v>4.524316571776035E-3</v>
      </c>
      <c r="AK71" s="68">
        <f>IF($Z$3="yes", 0.0158461538461523/$X71, 0.0158461538461523)</f>
        <v>9.1596265006660682E-3</v>
      </c>
      <c r="AL71" s="68">
        <f>IF($Z$3="yes", 0.0178571428571428/$X71, 0.0178571428571428)</f>
        <v>1.0322047894302197E-2</v>
      </c>
      <c r="AM71" s="68">
        <f>IF($Z$3="yes", 0.624571999999999/$X71, 0.624571999999999)</f>
        <v>0.36102427745664684</v>
      </c>
      <c r="AN71" s="68">
        <f>IF($Z$3="yes", 0.559412000000003/$X71, 0.559412000000003)</f>
        <v>0.32335953757225611</v>
      </c>
      <c r="AO71" s="68">
        <f>IF($Z$3="yes", 0.373412000000003/$X71, 0.373412000000003)</f>
        <v>0.21584508670520405</v>
      </c>
      <c r="AP71" s="68">
        <f>IF($Z$3="yes", 0.689112000000001/$X71, 0.689112000000001)</f>
        <v>0.39833063583815081</v>
      </c>
      <c r="AQ71" s="68">
        <f>IF($Z$3="yes", 0.679612/$X71, 0.679612)</f>
        <v>0.39283930635838149</v>
      </c>
      <c r="AR71" s="68">
        <f>IF($Z$3="yes", 0.627112000000001/$X71, 0.627112000000001)</f>
        <v>0.36249248554913355</v>
      </c>
      <c r="AS71" s="68">
        <f>IF($Z$3="yes", 1.183984/$X71, 1.183984)</f>
        <v>0.68438381502890167</v>
      </c>
      <c r="AT71" s="68">
        <f>IF($Z$3="yes", 0.997984000000002/$X71, 0.997984000000002)</f>
        <v>0.57686936416185086</v>
      </c>
      <c r="AU71" s="88">
        <f>IF($Z$3="yes", 1.313684/$X71, 1.313684)</f>
        <v>0.75935491329479776</v>
      </c>
      <c r="AV71" s="88">
        <f>IF($Z$3="yes", 1.304184/$X71, 1.304184)</f>
        <v>0.75386358381502894</v>
      </c>
      <c r="AW71" s="88">
        <f>IF($Z$3="yes", 1.251684/$X71, 1.251684)</f>
        <v>0.72351676300578038</v>
      </c>
      <c r="AX71" s="88">
        <f>IF($Z$3="yes", 0.186/$X71, 0.186)</f>
        <v>0.10751445086705202</v>
      </c>
      <c r="AY71" s="88">
        <f>IF($Z$3="yes", 0.315699999999997/$X71, 0.315699999999997)</f>
        <v>0.18248554913294623</v>
      </c>
      <c r="AZ71" s="88">
        <f>IF($Z$3="yes", 0.306199999999997/$X71, 0.306199999999997)</f>
        <v>0.17699421965317744</v>
      </c>
      <c r="BA71" s="88">
        <f>IF($Z$3="yes", 0.253699999999998/$X71, 0.253699999999998)</f>
        <v>0.14664739884392947</v>
      </c>
      <c r="BB71" s="88">
        <f>IF($Z$3="yes", 0.129699999999997/$X71, 0.129699999999997)</f>
        <v>7.4971098265894223E-2</v>
      </c>
      <c r="BC71" s="88">
        <f>IF($Z$3="yes", 0.120199999999997/$X71, 0.120199999999997)</f>
        <v>6.947976878612544E-2</v>
      </c>
      <c r="BD71" s="88">
        <f>IF($Z$3="yes", 0.0676999999999978/$X71, 0.0676999999999978)</f>
        <v>3.9132947976877344E-2</v>
      </c>
      <c r="BE71" s="88">
        <f>IF($Z$3="yes", 0.0095000000000005/$X71, 0.0095000000000005)</f>
        <v>5.4913294797690748E-3</v>
      </c>
      <c r="BF71" s="88">
        <f>IF($Z$3="yes", 0.0619999999999998/$X71, 0.0619999999999998)</f>
        <v>3.5838150289017226E-2</v>
      </c>
      <c r="BG71" s="88">
        <f>IF($Z$3="yes", 0.0524999999999993/$X71, 0.0524999999999993)</f>
        <v>3.0346820809248148E-2</v>
      </c>
      <c r="BH71" s="88">
        <f>IF($Z$3="yes", 0.628879428571428/$X71, 0.628879428571428)</f>
        <v>0.36351412056151905</v>
      </c>
      <c r="BI71" s="68"/>
      <c r="BJ71" s="68"/>
      <c r="BK71" s="68">
        <f>IF($BL$3="yes", MAX(0, (426284 - 500595.8) / 60941.4328233263), 500595.8)</f>
        <v>500595.8</v>
      </c>
      <c r="BL71" s="68">
        <f>IF($BL$3="yes", MAX(0, (426284 - 523020.9) / 143019.872653732), 523020.9)</f>
        <v>523020.9</v>
      </c>
      <c r="BM71" s="68">
        <f>IF($BL$3="yes", MAX(0, (426284 - 1438261.45) / 3672171.09283918), 1438261.45)</f>
        <v>1438261.45</v>
      </c>
      <c r="BN71" s="68">
        <f>IF($BL$3="yes", MAX(0, (426284 - 1023296.34) / 2379876.97946807), 1023296.34)</f>
        <v>1023296.34</v>
      </c>
      <c r="BO71" s="68">
        <f>IF($BL$3="yes", MAX(0, (426284 - 2559551.78833333) / 3215328.90112738), 2559551.78833333)</f>
        <v>2559551.7883333298</v>
      </c>
      <c r="BP71" s="68">
        <f>IF($BL$3="yes", MAX(0, (426284 - 2415730.25) / 4777394.40483846), 2415730.25)</f>
        <v>2415730.25</v>
      </c>
      <c r="BQ71" s="68"/>
      <c r="BR71" s="68"/>
      <c r="BS71" s="68"/>
      <c r="BT71" s="68">
        <v>-15772181.83834992</v>
      </c>
      <c r="BU71" s="68">
        <v>-34671.13120034826</v>
      </c>
      <c r="BV71" s="68">
        <f>IF($Z$3="yes", 0.124593264860149/$X71, 0.124593264860149)</f>
        <v>7.2019228242860694E-2</v>
      </c>
      <c r="BW71" s="68">
        <f>IF($Z$3="yes", 0.208979357027919/$X71, 0.208979357027919)</f>
        <v>0.12079731620110926</v>
      </c>
      <c r="BX71" s="68">
        <f>$BW$289 - $BV$289</f>
        <v>-7.5252067192446773E-3</v>
      </c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81"/>
      <c r="CR71" s="81"/>
      <c r="CS71" s="68"/>
      <c r="CT71" s="68"/>
      <c r="CU71" s="68"/>
    </row>
    <row r="72" spans="1:99" ht="15.75" customHeight="1" thickBot="1" x14ac:dyDescent="0.3">
      <c r="A72" s="84"/>
      <c r="B72" s="67" t="s">
        <v>128</v>
      </c>
      <c r="C72" s="83" t="s">
        <v>316</v>
      </c>
      <c r="D72" s="67" t="s">
        <v>317</v>
      </c>
      <c r="E72" s="67">
        <v>1</v>
      </c>
      <c r="F72" s="85">
        <v>2.19</v>
      </c>
      <c r="G72" s="313">
        <v>44357</v>
      </c>
      <c r="H72" s="317">
        <v>2.04</v>
      </c>
      <c r="I72" s="317">
        <v>2.73</v>
      </c>
      <c r="J72" s="313">
        <v>44375</v>
      </c>
      <c r="K72" s="117">
        <f t="shared" si="4"/>
        <v>-6.8493150684931448E-2</v>
      </c>
      <c r="L72" s="118">
        <f t="shared" si="5"/>
        <v>0.24657534246575352</v>
      </c>
      <c r="M72" s="312">
        <v>44407</v>
      </c>
      <c r="N72" s="68"/>
      <c r="O72" s="291">
        <v>66755195</v>
      </c>
      <c r="P72" s="291">
        <v>44280000</v>
      </c>
      <c r="Q72" s="291">
        <v>18</v>
      </c>
      <c r="R72" s="68" t="s">
        <v>131</v>
      </c>
      <c r="S72" s="68" t="s">
        <v>148</v>
      </c>
      <c r="T72" s="67" t="s">
        <v>318</v>
      </c>
      <c r="U72" s="68">
        <v>56</v>
      </c>
      <c r="V72" s="68">
        <v>190977</v>
      </c>
      <c r="W72" s="68"/>
      <c r="X72" s="68">
        <v>2.19</v>
      </c>
      <c r="Y72" s="68">
        <v>2.4143000000000008</v>
      </c>
      <c r="Z72" s="68">
        <v>3.074400000000002</v>
      </c>
      <c r="AA72" s="68">
        <v>2.5252000000000012</v>
      </c>
      <c r="AB72" s="68">
        <v>2.845600000000001</v>
      </c>
      <c r="AC72" s="68">
        <v>2.1305000000000009</v>
      </c>
      <c r="AD72" s="68">
        <v>2.116428571428572</v>
      </c>
      <c r="AE72" s="68">
        <v>2.12</v>
      </c>
      <c r="AF72" s="68">
        <f>IF($Z$3="yes", 0.00885412135303379/$X72, 0.00885412135303379)</f>
        <v>4.0429777867734195E-3</v>
      </c>
      <c r="AG72" s="68">
        <f>IF($Z$3="yes", -0.0169254125412543/$X72, -0.0169254125412543)</f>
        <v>-7.7284988772850687E-3</v>
      </c>
      <c r="AH72" s="68">
        <f>IF($Z$3="yes", -0.0277618247298926/$X72, -0.0277618247298926)</f>
        <v>-1.2676632296754612E-2</v>
      </c>
      <c r="AI72" s="68">
        <f>IF($Z$3="yes", -0.0401162064825937/$X72, -0.0401162064825937)</f>
        <v>-1.8317902503467445E-2</v>
      </c>
      <c r="AJ72" s="68">
        <f>IF($Z$3="yes", -0.00250375939849618/$X72, -0.00250375939849618)</f>
        <v>-1.1432691317334156E-3</v>
      </c>
      <c r="AK72" s="68">
        <f>IF($Z$3="yes", 0.00459340659340505/$X72, 0.00459340659340505)</f>
        <v>2.0974459330616669E-3</v>
      </c>
      <c r="AL72" s="68">
        <f>IF($Z$3="yes", 0.0221428571428569/$X72, 0.0221428571428569)</f>
        <v>1.0110893672537397E-2</v>
      </c>
      <c r="AM72" s="68">
        <f>IF($Z$3="yes", 0.660100000000001/$X72, 0.660100000000001)</f>
        <v>0.3014155251141557</v>
      </c>
      <c r="AN72" s="68">
        <f>IF($Z$3="yes", 0.110899999999999/$X72, 0.110899999999999)</f>
        <v>5.063926940639224E-2</v>
      </c>
      <c r="AO72" s="68">
        <f>IF($Z$3="yes", 0.431299999999999/$X72, 0.431299999999999)</f>
        <v>0.19694063926940594</v>
      </c>
      <c r="AP72" s="68">
        <f>IF($Z$3="yes", 0.2838/$X72, 0.2838)</f>
        <v>0.12958904109589042</v>
      </c>
      <c r="AQ72" s="68">
        <f>IF($Z$3="yes", 0.297871428571428/$X72, 0.297871428571428)</f>
        <v>0.13601435094585754</v>
      </c>
      <c r="AR72" s="68">
        <f>IF($Z$3="yes", 0.294300000000001/$X72, 0.294300000000001)</f>
        <v>0.13438356164383608</v>
      </c>
      <c r="AS72" s="68">
        <f>IF($Z$3="yes", 0.549200000000001/$X72, 0.549200000000001)</f>
        <v>0.25077625570776302</v>
      </c>
      <c r="AT72" s="68">
        <f>IF($Z$3="yes", 0.228800000000001/$X72, 0.228800000000001)</f>
        <v>0.10447488584474932</v>
      </c>
      <c r="AU72" s="88">
        <f>IF($Z$3="yes", 0.943900000000002/$X72, 0.943900000000002)</f>
        <v>0.43100456621004657</v>
      </c>
      <c r="AV72" s="88">
        <f>IF($Z$3="yes", 0.95797142857143/$X72, 0.95797142857143)</f>
        <v>0.43742987606001371</v>
      </c>
      <c r="AW72" s="88">
        <f>IF($Z$3="yes", 0.954400000000002/$X72, 0.954400000000002)</f>
        <v>0.43579908675799178</v>
      </c>
      <c r="AX72" s="88">
        <f>IF($Z$3="yes", 0.3204/$X72, 0.3204)</f>
        <v>0.1463013698630137</v>
      </c>
      <c r="AY72" s="88">
        <f>IF($Z$3="yes", 0.7151/$X72, 0.7151)</f>
        <v>0.32652968036529678</v>
      </c>
      <c r="AZ72" s="88">
        <f>IF($Z$3="yes", 0.729171428571428/$X72, 0.729171428571428)</f>
        <v>0.33295499021526392</v>
      </c>
      <c r="BA72" s="88">
        <f>IF($Z$3="yes", 0.7256/$X72, 0.7256)</f>
        <v>0.33132420091324205</v>
      </c>
      <c r="BB72" s="88">
        <f>IF($Z$3="yes", 0.3947/$X72, 0.3947)</f>
        <v>0.18022831050228311</v>
      </c>
      <c r="BC72" s="88">
        <f>IF($Z$3="yes", 0.408771428571428/$X72, 0.408771428571428)</f>
        <v>0.18665362035225025</v>
      </c>
      <c r="BD72" s="88">
        <f>IF($Z$3="yes", 0.4052/$X72, 0.4052)</f>
        <v>0.18502283105022832</v>
      </c>
      <c r="BE72" s="88">
        <f>IF($Z$3="yes", 0.014071428571428/$X72, 0.014071428571428)</f>
        <v>6.4253098499671242E-3</v>
      </c>
      <c r="BF72" s="88">
        <f>IF($Z$3="yes", 0.0105000000000003/$X72, 0.0105000000000003)</f>
        <v>4.7945205479453428E-3</v>
      </c>
      <c r="BG72" s="88">
        <f>IF($Z$3="yes", 0.00357142857142767/$X72, 0.00357142857142767)</f>
        <v>1.6307893020217673E-3</v>
      </c>
      <c r="BH72" s="88">
        <f>IF($Z$3="yes", 0.614526530612245/$X72, 0.614526530612245)</f>
        <v>0.28060572174075116</v>
      </c>
      <c r="BI72" s="68"/>
      <c r="BJ72" s="68"/>
      <c r="BK72" s="68">
        <f>IF($BL$3="yes", MAX(0, (190977 - 266942) / 51827.5255361472), 266942)</f>
        <v>266942</v>
      </c>
      <c r="BL72" s="68">
        <f>IF($BL$3="yes", MAX(0, (190977 - 279006.6) / 71361.955311216), 279006.6)</f>
        <v>279006.59999999998</v>
      </c>
      <c r="BM72" s="68">
        <f>IF($BL$3="yes", MAX(0, (190977 - 320025.75) / 144867.465257688), 320025.75)</f>
        <v>320025.75</v>
      </c>
      <c r="BN72" s="68">
        <f>IF($BL$3="yes", MAX(0, (190977 - 388643.8) / 274124.388765465), 388643.8)</f>
        <v>388643.8</v>
      </c>
      <c r="BO72" s="68">
        <f>IF($BL$3="yes", MAX(0, (190977 - 613816.64) / 505698.403166344), 613816.64)</f>
        <v>613816.64</v>
      </c>
      <c r="BP72" s="68">
        <f>IF($BL$3="yes", MAX(0, (190977 - 454437.37) / 447847.810692017), 454437.37)</f>
        <v>454437.37</v>
      </c>
      <c r="BQ72" s="68"/>
      <c r="BR72" s="68"/>
      <c r="BS72" s="68"/>
      <c r="BT72" s="68">
        <v>-2170952.216397177</v>
      </c>
      <c r="BU72" s="68">
        <v>26091.40096716004</v>
      </c>
      <c r="BV72" s="68">
        <f>IF($Z$3="yes", 0.158495175769853/$X72, 0.158495175769853)</f>
        <v>7.2372226378928317E-2</v>
      </c>
      <c r="BW72" s="68">
        <f>IF($Z$3="yes", 0.253212099752664/$X72, 0.253212099752664)</f>
        <v>0.11562196335738083</v>
      </c>
      <c r="BX72" s="68">
        <f>$BW$291 - $BV$291</f>
        <v>-5.3199314077674531E-2</v>
      </c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81"/>
      <c r="CR72" s="81"/>
      <c r="CS72" s="68"/>
      <c r="CT72" s="68"/>
      <c r="CU72" s="68"/>
    </row>
    <row r="73" spans="1:99" ht="15.75" customHeight="1" thickBot="1" x14ac:dyDescent="0.3">
      <c r="A73" s="84"/>
      <c r="B73" s="67" t="s">
        <v>128</v>
      </c>
      <c r="C73" s="83" t="s">
        <v>319</v>
      </c>
      <c r="D73" s="67" t="s">
        <v>320</v>
      </c>
      <c r="E73" s="67">
        <v>1</v>
      </c>
      <c r="F73" s="85">
        <v>2.4900000000000002</v>
      </c>
      <c r="G73" s="313">
        <v>44357</v>
      </c>
      <c r="H73" s="317">
        <v>2.25</v>
      </c>
      <c r="I73" s="85">
        <v>3.95</v>
      </c>
      <c r="J73" s="313">
        <v>44372</v>
      </c>
      <c r="K73" s="116">
        <f t="shared" si="4"/>
        <v>-9.6385542168674787E-2</v>
      </c>
      <c r="L73" s="116">
        <f t="shared" si="5"/>
        <v>0.58634538152610438</v>
      </c>
      <c r="M73" s="312">
        <v>44407</v>
      </c>
      <c r="N73" s="68"/>
      <c r="O73" s="291">
        <v>77730165</v>
      </c>
      <c r="P73" s="291">
        <v>45180000</v>
      </c>
      <c r="Q73" s="291">
        <v>15</v>
      </c>
      <c r="R73" s="68" t="s">
        <v>131</v>
      </c>
      <c r="S73" s="68" t="s">
        <v>153</v>
      </c>
      <c r="T73" s="68" t="s">
        <v>154</v>
      </c>
      <c r="U73" s="68">
        <v>596</v>
      </c>
      <c r="V73" s="68">
        <v>4083164</v>
      </c>
      <c r="W73" s="68"/>
      <c r="X73" s="68">
        <v>2.4900000000000002</v>
      </c>
      <c r="Y73" s="68">
        <v>5.4442250000000003</v>
      </c>
      <c r="Z73" s="68">
        <v>4.2380500000000012</v>
      </c>
      <c r="AA73" s="68">
        <v>3.0097000000000009</v>
      </c>
      <c r="AB73" s="68">
        <v>3.4350999999999998</v>
      </c>
      <c r="AC73" s="68">
        <v>2.4194999999999989</v>
      </c>
      <c r="AD73" s="68">
        <v>2.452142857142857</v>
      </c>
      <c r="AE73" s="68">
        <v>2.4075000000000002</v>
      </c>
      <c r="AF73" s="68">
        <f>IF($Z$3="yes", -0.0312815907897696/$X73, -0.0312815907897696)</f>
        <v>-1.2562887867377349E-2</v>
      </c>
      <c r="AG73" s="68">
        <f>IF($Z$3="yes", -0.0493795079507951/$X73, -0.0493795079507951)</f>
        <v>-1.9831127691082369E-2</v>
      </c>
      <c r="AH73" s="68">
        <f>IF($Z$3="yes", -0.0434451380552225/$X73, -0.0434451380552225)</f>
        <v>-1.7447846608523093E-2</v>
      </c>
      <c r="AI73" s="68">
        <f>IF($Z$3="yes", -0.0575776710684275/$X73, -0.0575776710684275)</f>
        <v>-2.3123562678083329E-2</v>
      </c>
      <c r="AJ73" s="68">
        <f>IF($Z$3="yes", 0.00543609022556549/$X73, 0.00543609022556549)</f>
        <v>2.1831687652873453E-3</v>
      </c>
      <c r="AK73" s="68">
        <f>IF($Z$3="yes", -0.00657142857143037/$X73, -0.00657142857143037)</f>
        <v>-2.6391279403334814E-3</v>
      </c>
      <c r="AL73" s="68">
        <f>IF($Z$3="yes", 0.00928571428571463/$X73, 0.00928571428571463)</f>
        <v>3.7292025243833848E-3</v>
      </c>
      <c r="AM73" s="68">
        <f>IF($Z$3="yes", 1.20617499999999/$X73, 1.20617499999999)</f>
        <v>0.4844076305220843</v>
      </c>
      <c r="AN73" s="68">
        <f>IF($Z$3="yes", 2.43452499999999/$X73, 2.43452499999999)</f>
        <v>0.97772088353413245</v>
      </c>
      <c r="AO73" s="68">
        <f>IF($Z$3="yes", 2.009125/$X73, 2.009125)</f>
        <v>0.80687751004016062</v>
      </c>
      <c r="AP73" s="68">
        <f>IF($Z$3="yes", 3.024725/$X73, 3.024725)</f>
        <v>1.2147489959839357</v>
      </c>
      <c r="AQ73" s="68">
        <f>IF($Z$3="yes", 2.99208214285714/$X73, 2.99208214285714)</f>
        <v>1.2016394148020642</v>
      </c>
      <c r="AR73" s="68">
        <f>IF($Z$3="yes", 3.036725/$X73, 3.036725)</f>
        <v>1.2195682730923694</v>
      </c>
      <c r="AS73" s="68">
        <f>IF($Z$3="yes", 1.22834999999999/$X73, 1.22834999999999)</f>
        <v>0.49331325301204415</v>
      </c>
      <c r="AT73" s="68">
        <f>IF($Z$3="yes", 0.802950000000001/$X73, 0.802950000000001)</f>
        <v>0.32246987951807271</v>
      </c>
      <c r="AU73" s="88">
        <f>IF($Z$3="yes", 1.81855/$X73, 1.81855)</f>
        <v>0.73034136546184736</v>
      </c>
      <c r="AV73" s="88">
        <f>IF($Z$3="yes", 1.78590714285714/$X73, 1.78590714285714)</f>
        <v>0.7172317842799758</v>
      </c>
      <c r="AW73" s="88">
        <f>IF($Z$3="yes", 1.83055/$X73, 1.83055)</f>
        <v>0.73516064257028102</v>
      </c>
      <c r="AX73" s="88">
        <f>IF($Z$3="yes", 0.425399999999998/$X73, 0.425399999999998)</f>
        <v>0.17084337349397508</v>
      </c>
      <c r="AY73" s="88">
        <f>IF($Z$3="yes", 1.0156/$X73, 1.0156)</f>
        <v>0.40787148594377509</v>
      </c>
      <c r="AZ73" s="88">
        <f>IF($Z$3="yes", 0.982957142857142/$X73, 0.982957142857142)</f>
        <v>0.39476190476190437</v>
      </c>
      <c r="BA73" s="88">
        <f>IF($Z$3="yes", 1.0276/$X73, 1.0276)</f>
        <v>0.41269076305220881</v>
      </c>
      <c r="BB73" s="88">
        <f>IF($Z$3="yes", 0.590200000000002/$X73, 0.590200000000002)</f>
        <v>0.23702811244979996</v>
      </c>
      <c r="BC73" s="88">
        <f>IF($Z$3="yes", 0.557557142857144/$X73, 0.557557142857144)</f>
        <v>0.22391853126792929</v>
      </c>
      <c r="BD73" s="88">
        <f>IF($Z$3="yes", 0.602200000000001/$X73, 0.602200000000001)</f>
        <v>0.24184738955823329</v>
      </c>
      <c r="BE73" s="88">
        <f>IF($Z$3="yes", 0.0326428571428576/$X73, 0.0326428571428576)</f>
        <v>1.3109581181870521E-2</v>
      </c>
      <c r="BF73" s="88">
        <f>IF($Z$3="yes", 0.0119999999999995/$X73, 0.0119999999999995)</f>
        <v>4.8192771084335341E-3</v>
      </c>
      <c r="BG73" s="88">
        <f>IF($Z$3="yes", 0.0446428571428572/$X73, 0.0446428571428572)</f>
        <v>1.7928858290304096E-2</v>
      </c>
      <c r="BH73" s="88">
        <f>IF($Z$3="yes", 1.36568605442176/$X73, 1.36568605442176)</f>
        <v>0.54846829494849791</v>
      </c>
      <c r="BI73" s="68"/>
      <c r="BJ73" s="68"/>
      <c r="BK73" s="68">
        <f>IF($BL$3="yes", MAX(0, (4083164 - 4133747.2) / 1215383.38568805), 4133747.2)</f>
        <v>4133747.2</v>
      </c>
      <c r="BL73" s="68">
        <f>IF($BL$3="yes", MAX(0, (4083164 - 2964735.9) / 1886311.99940754), 2964735.9)</f>
        <v>2964735.9</v>
      </c>
      <c r="BM73" s="68">
        <f>IF($BL$3="yes", MAX(0, (4083164 - 1857668.95) / 1767718.59274898), 1857668.95)</f>
        <v>1857668.95</v>
      </c>
      <c r="BN73" s="68">
        <f>IF($BL$3="yes", MAX(0, (4083164 - 994644.72) / 1328826.40446932), 994644.72)</f>
        <v>994644.72</v>
      </c>
      <c r="BO73" s="68">
        <f>IF($BL$3="yes", MAX(0, (4083164 - 751098.87) / 1001135.93896694), 751098.87)</f>
        <v>751098.87</v>
      </c>
      <c r="BP73" s="68">
        <f>IF($BL$3="yes", MAX(0, (4083164 - 635703.955) / 918110.98892945), 635703.955)</f>
        <v>635703.95499999996</v>
      </c>
      <c r="BQ73" s="68"/>
      <c r="BR73" s="68"/>
      <c r="BS73" s="68"/>
      <c r="BT73" s="68">
        <v>-76327.391756002791</v>
      </c>
      <c r="BU73" s="68">
        <v>1733401.4629321331</v>
      </c>
      <c r="BV73" s="68">
        <f>IF($Z$3="yes", 0.291469975496302/$X73, 0.291469975496302)</f>
        <v>0.11705621505875581</v>
      </c>
      <c r="BW73" s="68">
        <f>IF($Z$3="yes", 0.333097401854032/$X73, 0.333097401854032)</f>
        <v>0.13377405696949077</v>
      </c>
      <c r="BX73" s="68">
        <f>$BW$290 - $BV$290</f>
        <v>9.1937119710670465E-3</v>
      </c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81"/>
      <c r="CR73" s="81"/>
      <c r="CS73" s="68"/>
      <c r="CT73" s="68"/>
      <c r="CU73" s="68"/>
    </row>
    <row r="74" spans="1:99" ht="15.75" customHeight="1" thickBot="1" x14ac:dyDescent="0.3">
      <c r="A74" s="84"/>
      <c r="B74" s="67" t="s">
        <v>128</v>
      </c>
      <c r="C74" s="83" t="s">
        <v>321</v>
      </c>
      <c r="D74" s="67" t="s">
        <v>165</v>
      </c>
      <c r="E74" s="67">
        <v>1</v>
      </c>
      <c r="F74" s="85">
        <v>2.95</v>
      </c>
      <c r="G74" s="313">
        <v>44356</v>
      </c>
      <c r="H74" s="317">
        <v>2.5299999999999998</v>
      </c>
      <c r="I74" s="85">
        <v>3.88</v>
      </c>
      <c r="J74" s="313">
        <v>44371</v>
      </c>
      <c r="K74" s="121">
        <f t="shared" si="4"/>
        <v>-0.14237288135593229</v>
      </c>
      <c r="L74" s="122">
        <f t="shared" si="5"/>
        <v>0.31525423728813551</v>
      </c>
      <c r="M74" s="312">
        <v>44407</v>
      </c>
      <c r="N74" s="68"/>
      <c r="O74" s="291">
        <v>27988927</v>
      </c>
      <c r="P74" s="291">
        <v>21730000</v>
      </c>
      <c r="Q74" s="291">
        <v>15</v>
      </c>
      <c r="R74" s="68" t="s">
        <v>131</v>
      </c>
      <c r="S74" s="68" t="s">
        <v>157</v>
      </c>
      <c r="T74" s="68" t="s">
        <v>166</v>
      </c>
      <c r="U74" s="68">
        <v>2004</v>
      </c>
      <c r="V74" s="68">
        <v>8095551</v>
      </c>
      <c r="W74" s="68"/>
      <c r="X74" s="68">
        <v>3.05</v>
      </c>
      <c r="Y74" s="68">
        <v>3.1203015000000018</v>
      </c>
      <c r="Z74" s="68">
        <v>4.6591000000000014</v>
      </c>
      <c r="AA74" s="68">
        <v>3.2218000000000022</v>
      </c>
      <c r="AB74" s="68">
        <v>3.602800000000002</v>
      </c>
      <c r="AC74" s="68">
        <v>2.6240000000000001</v>
      </c>
      <c r="AD74" s="68">
        <v>2.7528571428571418</v>
      </c>
      <c r="AE74" s="68" t="e">
        <v>#N/A</v>
      </c>
      <c r="AF74" s="68">
        <f>IF($Z$3="yes", 0.019975927923198/$X74, 0.019975927923198)</f>
        <v>6.5494845649829514E-3</v>
      </c>
      <c r="AG74" s="68">
        <f>IF($Z$3="yes", -0.0575135313531352/$X74, -0.0575135313531352)</f>
        <v>-1.88568955256181E-2</v>
      </c>
      <c r="AH74" s="68">
        <f>IF($Z$3="yes", -0.039446338535415/$X74, -0.039446338535415)</f>
        <v>-1.2933225749316395E-2</v>
      </c>
      <c r="AI74" s="68">
        <f>IF($Z$3="yes", -0.0600557022809131/$X74, -0.0600557022809131)</f>
        <v>-1.9690394190463312E-2</v>
      </c>
      <c r="AJ74" s="68">
        <f>IF($Z$3="yes", 0.0434436090225572/$X74, 0.0434436090225572)</f>
        <v>1.4243806236904001E-2</v>
      </c>
      <c r="AK74" s="68">
        <f>IF($Z$3="yes", 0.0416703296703284/$X74, 0.0416703296703284)</f>
        <v>1.3662403170599477E-2</v>
      </c>
      <c r="AL74" s="68" t="e">
        <f>IF($Z$3="yes", #N/A/$X74, #N/A)</f>
        <v>#N/A</v>
      </c>
      <c r="AM74" s="68">
        <f>IF($Z$3="yes", 1.53879849999999/$X74, 1.53879849999999)</f>
        <v>0.50452409836065248</v>
      </c>
      <c r="AN74" s="68">
        <f>IF($Z$3="yes", 0.1014985/$X74, 0.1014985)</f>
        <v>3.3278196721311479E-2</v>
      </c>
      <c r="AO74" s="68">
        <f>IF($Z$3="yes", 0.4824985/$X74, 0.4824985)</f>
        <v>0.15819622950819673</v>
      </c>
      <c r="AP74" s="68">
        <f>IF($Z$3="yes", 0.496301500000002/$X74, 0.496301500000002)</f>
        <v>0.16272180327868918</v>
      </c>
      <c r="AQ74" s="68">
        <f>IF($Z$3="yes", 0.367444357142859/$X74, 0.367444357142859)</f>
        <v>0.12047355971897017</v>
      </c>
      <c r="AR74" s="68"/>
      <c r="AS74" s="68">
        <f>IF($Z$3="yes", 1.43729999999999/$X74, 1.43729999999999)</f>
        <v>0.47124590163934105</v>
      </c>
      <c r="AT74" s="68">
        <f>IF($Z$3="yes", 1.05629999999999/$X74, 1.05629999999999)</f>
        <v>0.34632786885245576</v>
      </c>
      <c r="AU74" s="88">
        <f>IF($Z$3="yes", 2.0351/$X74, 2.0351)</f>
        <v>0.66724590163934427</v>
      </c>
      <c r="AV74" s="88">
        <f>IF($Z$3="yes", 1.90624285714285/$X74, 1.90624285714285)</f>
        <v>0.62499765807962304</v>
      </c>
      <c r="AW74" s="88"/>
      <c r="AX74" s="88">
        <f>IF($Z$3="yes", 0.380999999999999/$X74, 0.380999999999999)</f>
        <v>0.12491803278688493</v>
      </c>
      <c r="AY74" s="88">
        <f>IF($Z$3="yes", 0.978800000000002/$X74, 0.978800000000002)</f>
        <v>0.32091803278688591</v>
      </c>
      <c r="AZ74" s="88">
        <f>IF($Z$3="yes", 0.849942857142859/$X74, 0.849942857142859)</f>
        <v>0.2786697892271669</v>
      </c>
      <c r="BA74" s="88"/>
      <c r="BB74" s="88">
        <f>IF($Z$3="yes", 0.597800000000002/$X74, 0.597800000000002)</f>
        <v>0.19600000000000067</v>
      </c>
      <c r="BC74" s="88">
        <f>IF($Z$3="yes", 0.46894285714286/$X74, 0.46894285714286)</f>
        <v>0.15375175644028197</v>
      </c>
      <c r="BD74" s="88"/>
      <c r="BE74" s="88">
        <f>IF($Z$3="yes", 0.128857142857142/$X74, 0.128857142857142)</f>
        <v>4.2248243559718693E-2</v>
      </c>
      <c r="BF74" s="88"/>
      <c r="BG74" s="88"/>
      <c r="BH74" s="88"/>
      <c r="BI74" s="68"/>
      <c r="BJ74" s="68"/>
      <c r="BK74" s="68">
        <f>IF($BL$3="yes", MAX(0, (8095551 - 3460353.6) / 2511753.55290359), 3460353.6)</f>
        <v>3460353.6</v>
      </c>
      <c r="BL74" s="68">
        <f>IF($BL$3="yes", MAX(0, (8095551 - 5038588.1) / 7300645.09986129), 5038588.1)</f>
        <v>5038588.0999999996</v>
      </c>
      <c r="BM74" s="68">
        <f>IF($BL$3="yes", MAX(0, (8095551 - 2744393.85) / 5654416.44328026), 2744393.85)</f>
        <v>2744393.85</v>
      </c>
      <c r="BN74" s="68">
        <f>IF($BL$3="yes", MAX(0, (8095551 - 1400183.5) / 3752523.15713252), 1400183.5)</f>
        <v>1400183.5</v>
      </c>
      <c r="BO74" s="68">
        <f>IF($BL$3="yes", MAX(0, (8095551 - 1667127.31) / 3153569.68820878), 1667127.31)</f>
        <v>1667127.31</v>
      </c>
      <c r="BP74" s="68">
        <f>IF($BL$3="yes", MAX(0, (8095551 - 2209936.085) / 5550297.12347926), 2209936.085)</f>
        <v>2209936.085</v>
      </c>
      <c r="BQ74" s="68"/>
      <c r="BR74" s="68"/>
      <c r="BS74" s="68"/>
      <c r="BT74" s="68">
        <v>6036374.4170307145</v>
      </c>
      <c r="BU74" s="68">
        <v>46179.425681432709</v>
      </c>
      <c r="BV74" s="68">
        <f>IF($Z$3="yes", 0.360319537589295/$X74, 0.360319537589295)</f>
        <v>0.11813755330796559</v>
      </c>
      <c r="BW74" s="68">
        <f>IF($Z$3="yes", 0.40977481416305/$X74, 0.40977481416305)</f>
        <v>0.13435239808624591</v>
      </c>
      <c r="BX74" s="68">
        <f>$BW$288 - $BV$288</f>
        <v>2.4928960396983113E-2</v>
      </c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81"/>
      <c r="CR74" s="81"/>
      <c r="CS74" s="68"/>
      <c r="CT74" s="68"/>
      <c r="CU74" s="68"/>
    </row>
    <row r="75" spans="1:99" ht="15.75" customHeight="1" thickBot="1" x14ac:dyDescent="0.3">
      <c r="A75" s="84"/>
      <c r="B75" s="67" t="s">
        <v>128</v>
      </c>
      <c r="C75" s="83" t="s">
        <v>322</v>
      </c>
      <c r="D75" s="67" t="s">
        <v>323</v>
      </c>
      <c r="E75" s="67">
        <v>1</v>
      </c>
      <c r="F75" s="85">
        <v>1.3</v>
      </c>
      <c r="G75" s="313">
        <v>44356</v>
      </c>
      <c r="H75" s="317">
        <v>1.54</v>
      </c>
      <c r="I75" s="317">
        <v>2.4500000000000002</v>
      </c>
      <c r="J75" s="313">
        <v>44384</v>
      </c>
      <c r="K75" s="119">
        <f t="shared" si="4"/>
        <v>0.18461538461538463</v>
      </c>
      <c r="L75" s="120">
        <f t="shared" si="5"/>
        <v>0.88461538461538458</v>
      </c>
      <c r="M75" s="312">
        <v>44407</v>
      </c>
      <c r="N75" s="68"/>
      <c r="O75" s="291">
        <v>49350077</v>
      </c>
      <c r="P75" s="291">
        <v>47690000</v>
      </c>
      <c r="Q75" s="291">
        <v>28</v>
      </c>
      <c r="R75" s="68" t="s">
        <v>131</v>
      </c>
      <c r="S75" s="68" t="s">
        <v>148</v>
      </c>
      <c r="T75" s="68" t="s">
        <v>154</v>
      </c>
      <c r="U75" s="68">
        <v>104</v>
      </c>
      <c r="V75" s="68">
        <v>1327271</v>
      </c>
      <c r="W75" s="68"/>
      <c r="X75" s="68">
        <v>1.33</v>
      </c>
      <c r="Y75" s="68">
        <v>1.4737264999999979</v>
      </c>
      <c r="Z75" s="68">
        <v>1.7933500000000011</v>
      </c>
      <c r="AA75" s="68">
        <v>1.421399999999998</v>
      </c>
      <c r="AB75" s="68">
        <v>1.548199999999998</v>
      </c>
      <c r="AC75" s="68">
        <v>1.294</v>
      </c>
      <c r="AD75" s="68">
        <v>1.2871428571428569</v>
      </c>
      <c r="AE75" s="68" t="e">
        <v>#N/A</v>
      </c>
      <c r="AF75" s="68">
        <f>IF($Z$3="yes", 0.00355254158853977/$X75, 0.00355254158853977)</f>
        <v>2.6710839011577217E-3</v>
      </c>
      <c r="AG75" s="68">
        <f>IF($Z$3="yes", -0.0139813681368137/$X75, -0.0139813681368137)</f>
        <v>-1.0512306869784736E-2</v>
      </c>
      <c r="AH75" s="68">
        <f>IF($Z$3="yes", -0.00868523409363681/$X75, -0.00868523409363681)</f>
        <v>-6.5302511982231653E-3</v>
      </c>
      <c r="AI75" s="68">
        <f>IF($Z$3="yes", -0.0152004801920762/$X75, -0.0152004801920762)</f>
        <v>-1.1428932475245263E-2</v>
      </c>
      <c r="AJ75" s="68">
        <f>IF($Z$3="yes", -0.000180451127819863/$X75, -0.000180451127819863)</f>
        <v>-1.356775397141827E-4</v>
      </c>
      <c r="AK75" s="68">
        <f>IF($Z$3="yes", 0.00215384615384548/$X75, 0.00215384615384548)</f>
        <v>1.61943319838006E-3</v>
      </c>
      <c r="AL75" s="68" t="e">
        <f>IF($Z$3="yes", #N/A/$X75, #N/A)</f>
        <v>#N/A</v>
      </c>
      <c r="AM75" s="68">
        <f>IF($Z$3="yes", 0.319623500000002/$X75, 0.319623500000002)</f>
        <v>0.24031842105263307</v>
      </c>
      <c r="AN75" s="68">
        <f>IF($Z$3="yes", 0.0523264999999999/$X75, 0.0523264999999999)</f>
        <v>3.9343233082706687E-2</v>
      </c>
      <c r="AO75" s="68">
        <f>IF($Z$3="yes", 0.0744735/$X75, 0.0744735)</f>
        <v>5.5995112781954882E-2</v>
      </c>
      <c r="AP75" s="68">
        <f>IF($Z$3="yes", 0.179726499999997/$X75, 0.179726499999997)</f>
        <v>0.13513270676691505</v>
      </c>
      <c r="AQ75" s="68">
        <f>IF($Z$3="yes", 0.18658364285714/$X75, 0.18658364285714)</f>
        <v>0.14028845327604511</v>
      </c>
      <c r="AR75" s="68"/>
      <c r="AS75" s="68">
        <f>IF($Z$3="yes", 0.371950000000002/$X75, 0.371950000000002)</f>
        <v>0.27966165413533983</v>
      </c>
      <c r="AT75" s="68">
        <f>IF($Z$3="yes", 0.245150000000002/$X75, 0.245150000000002)</f>
        <v>0.18432330827067819</v>
      </c>
      <c r="AU75" s="88">
        <f>IF($Z$3="yes", 0.49935/$X75, 0.49935)</f>
        <v>0.37545112781954887</v>
      </c>
      <c r="AV75" s="88">
        <f>IF($Z$3="yes", 0.506207142857143/$X75, 0.506207142857143)</f>
        <v>0.3806068743286789</v>
      </c>
      <c r="AW75" s="88"/>
      <c r="AX75" s="88">
        <f>IF($Z$3="yes", 0.1268/$X75, 0.1268)</f>
        <v>9.5338345864661653E-2</v>
      </c>
      <c r="AY75" s="88">
        <f>IF($Z$3="yes", 0.254199999999998/$X75, 0.254199999999998)</f>
        <v>0.19112781954887065</v>
      </c>
      <c r="AZ75" s="88">
        <f>IF($Z$3="yes", 0.26105714285714/$X75, 0.26105714285714)</f>
        <v>0.19628356605799999</v>
      </c>
      <c r="BA75" s="88"/>
      <c r="BB75" s="88">
        <f>IF($Z$3="yes", 0.127399999999997/$X75, 0.127399999999997)</f>
        <v>9.5789473684208259E-2</v>
      </c>
      <c r="BC75" s="88">
        <f>IF($Z$3="yes", 0.13425714285714/$X75, 0.13425714285714)</f>
        <v>0.10094522019333833</v>
      </c>
      <c r="BD75" s="88"/>
      <c r="BE75" s="88">
        <f>IF($Z$3="yes", 0.00685714285714267/$X75, 0.00685714285714267)</f>
        <v>5.155746509129827E-3</v>
      </c>
      <c r="BF75" s="88"/>
      <c r="BG75" s="88"/>
      <c r="BH75" s="88"/>
      <c r="BI75" s="68"/>
      <c r="BJ75" s="68"/>
      <c r="BK75" s="68">
        <f>IF($BL$3="yes", MAX(0, (1327271 - 1314041.4) / 232614.064533166), 1314041.4)</f>
        <v>1314041.3999999999</v>
      </c>
      <c r="BL75" s="68">
        <f>IF($BL$3="yes", MAX(0, (1327271 - 954204.2) / 415325.232361049), 954204.2)</f>
        <v>954204.2</v>
      </c>
      <c r="BM75" s="68">
        <f>IF($BL$3="yes", MAX(0, (1327271 - 732472.55) / 382866.041517849), 732472.55)</f>
        <v>732472.55</v>
      </c>
      <c r="BN75" s="68">
        <f>IF($BL$3="yes", MAX(0, (1327271 - 681764.96) / 337210.33406792), 681764.96)</f>
        <v>681764.96</v>
      </c>
      <c r="BO75" s="68">
        <f>IF($BL$3="yes", MAX(0, (1327271 - 2138329.47) / 6008492.45608597), 2138329.47)</f>
        <v>2138329.4700000002</v>
      </c>
      <c r="BP75" s="68">
        <f>IF($BL$3="yes", MAX(0, (1327271 - 1506219.47) / 4358771.30296325), 1506219.47)</f>
        <v>1506219.47</v>
      </c>
      <c r="BQ75" s="68"/>
      <c r="BR75" s="68"/>
      <c r="BS75" s="68"/>
      <c r="BT75" s="68">
        <v>-1833236.9010656511</v>
      </c>
      <c r="BU75" s="68">
        <v>69903.784311205731</v>
      </c>
      <c r="BV75" s="68">
        <f>IF($Z$3="yes", 0.0852149320375233/$X75, 0.0852149320375233)</f>
        <v>6.4071377471822025E-2</v>
      </c>
      <c r="BW75" s="68">
        <f>IF($Z$3="yes", 0.116890016124067/$X75, 0.116890016124067)</f>
        <v>8.7887230168471428E-2</v>
      </c>
      <c r="BX75" s="68">
        <f>$BW$287 - $BV$287</f>
        <v>5.8812711317717384E-2</v>
      </c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81"/>
      <c r="CR75" s="81"/>
      <c r="CS75" s="68"/>
      <c r="CT75" s="68"/>
      <c r="CU75" s="68"/>
    </row>
    <row r="76" spans="1:99" ht="15.75" customHeight="1" thickBot="1" x14ac:dyDescent="0.3">
      <c r="A76" s="84"/>
      <c r="B76" s="67" t="s">
        <v>128</v>
      </c>
      <c r="C76" s="83" t="s">
        <v>324</v>
      </c>
      <c r="D76" s="67" t="s">
        <v>325</v>
      </c>
      <c r="E76" s="67">
        <v>2</v>
      </c>
      <c r="F76" s="85">
        <v>1.1200000000000001</v>
      </c>
      <c r="G76" s="313">
        <v>44355</v>
      </c>
      <c r="H76" s="317">
        <v>0.90539999999999998</v>
      </c>
      <c r="I76" s="85">
        <v>1.7</v>
      </c>
      <c r="J76" s="313">
        <v>44370</v>
      </c>
      <c r="K76" s="123">
        <f t="shared" si="4"/>
        <v>-0.19160714285714298</v>
      </c>
      <c r="L76" s="124">
        <f t="shared" si="5"/>
        <v>0.51785714285714257</v>
      </c>
      <c r="M76" s="312">
        <v>44407</v>
      </c>
      <c r="N76" s="68"/>
      <c r="O76" s="291">
        <v>25135000</v>
      </c>
      <c r="P76" s="291">
        <v>11790000</v>
      </c>
      <c r="Q76" s="291">
        <v>15</v>
      </c>
      <c r="R76" s="68" t="s">
        <v>152</v>
      </c>
      <c r="S76" s="68" t="s">
        <v>148</v>
      </c>
      <c r="T76" s="68" t="s">
        <v>326</v>
      </c>
      <c r="U76" s="68">
        <v>76</v>
      </c>
      <c r="V76" s="68">
        <v>3841580</v>
      </c>
      <c r="W76" s="68"/>
      <c r="X76" s="68">
        <v>1.2</v>
      </c>
      <c r="Y76" s="68">
        <v>0.96455550000000045</v>
      </c>
      <c r="Z76" s="68">
        <v>1.296745</v>
      </c>
      <c r="AA76" s="68">
        <v>1.1647320000000001</v>
      </c>
      <c r="AB76" s="68">
        <v>1.274332</v>
      </c>
      <c r="AC76" s="68">
        <v>1.0881749999999999</v>
      </c>
      <c r="AD76" s="68">
        <v>1.0985714285714281</v>
      </c>
      <c r="AE76" s="68" t="e">
        <v>#N/A</v>
      </c>
      <c r="AF76" s="68">
        <f>IF($Z$3="yes", 0.00491126505662641/$X76, 0.00491126505662641)</f>
        <v>4.0927208805220088E-3</v>
      </c>
      <c r="AG76" s="68">
        <f>IF($Z$3="yes", -0.00194975157515752/$X76, -0.00194975157515752)</f>
        <v>-1.6247929792979332E-3</v>
      </c>
      <c r="AH76" s="68">
        <f>IF($Z$3="yes", -0.00620530132052814/$X76, -0.00620530132052814)</f>
        <v>-5.1710844337734506E-3</v>
      </c>
      <c r="AI76" s="68">
        <f>IF($Z$3="yes", -0.0149980024009603/$X76, -0.0149980024009603)</f>
        <v>-1.2498335334133583E-2</v>
      </c>
      <c r="AJ76" s="68">
        <f>IF($Z$3="yes", 0.00510037593984914/$X76, 0.00510037593984914)</f>
        <v>4.2503132832076174E-3</v>
      </c>
      <c r="AK76" s="68">
        <f>IF($Z$3="yes", 0.00971428571428623/$X76, 0.00971428571428623)</f>
        <v>8.0952380952385265E-3</v>
      </c>
      <c r="AL76" s="68" t="e">
        <f>IF($Z$3="yes", #N/A/$X76, #N/A)</f>
        <v>#N/A</v>
      </c>
      <c r="AM76" s="68">
        <f>IF($Z$3="yes", 0.332189499999999/$X76, 0.332189499999999)</f>
        <v>0.27682458333333254</v>
      </c>
      <c r="AN76" s="68">
        <f>IF($Z$3="yes", 0.200176499999999/$X76, 0.200176499999999)</f>
        <v>0.16681374999999918</v>
      </c>
      <c r="AO76" s="68">
        <f>IF($Z$3="yes", 0.309776499999999/$X76, 0.309776499999999)</f>
        <v>0.25814708333333253</v>
      </c>
      <c r="AP76" s="68">
        <f>IF($Z$3="yes", 0.123619499999999/$X76, 0.123619499999999)</f>
        <v>0.10301624999999917</v>
      </c>
      <c r="AQ76" s="68">
        <f>IF($Z$3="yes", 0.134015928571427/$X76, 0.134015928571427)</f>
        <v>0.11167994047618916</v>
      </c>
      <c r="AR76" s="68"/>
      <c r="AS76" s="68">
        <f>IF($Z$3="yes", 0.132013/$X76, 0.132013)</f>
        <v>0.11001083333333334</v>
      </c>
      <c r="AT76" s="68">
        <f>IF($Z$3="yes", 0.0224130000000002/$X76, 0.0224130000000002)</f>
        <v>1.8677500000000166E-2</v>
      </c>
      <c r="AU76" s="88">
        <f>IF($Z$3="yes", 0.20857/$X76, 0.20857)</f>
        <v>0.17380833333333334</v>
      </c>
      <c r="AV76" s="88">
        <f>IF($Z$3="yes", 0.198173571428572/$X76, 0.198173571428572)</f>
        <v>0.16514464285714334</v>
      </c>
      <c r="AW76" s="88"/>
      <c r="AX76" s="88">
        <f>IF($Z$3="yes", 0.1096/$X76, 0.1096)</f>
        <v>9.1333333333333336E-2</v>
      </c>
      <c r="AY76" s="88">
        <f>IF($Z$3="yes", 0.186156999999999/$X76, 0.186156999999999)</f>
        <v>0.1551308333333325</v>
      </c>
      <c r="AZ76" s="88">
        <f>IF($Z$3="yes", 0.175760571428571/$X76, 0.175760571428571)</f>
        <v>0.14646714285714249</v>
      </c>
      <c r="BA76" s="88"/>
      <c r="BB76" s="88">
        <f>IF($Z$3="yes", 0.0765569999999995/$X76, 0.0765569999999995)</f>
        <v>6.3797499999999591E-2</v>
      </c>
      <c r="BC76" s="88">
        <f>IF($Z$3="yes", 0.0661605714285715/$X76, 0.0661605714285715)</f>
        <v>5.5133809523809585E-2</v>
      </c>
      <c r="BD76" s="88"/>
      <c r="BE76" s="88">
        <f>IF($Z$3="yes", 0.0103964285714279/$X76, 0.0103964285714279)</f>
        <v>8.6636904761899173E-3</v>
      </c>
      <c r="BF76" s="88"/>
      <c r="BG76" s="88"/>
      <c r="BH76" s="88"/>
      <c r="BI76" s="68"/>
      <c r="BJ76" s="68"/>
      <c r="BK76" s="68">
        <f>IF($BL$3="yes", MAX(0, (3841580 - 1107340.8) / 1375869.5845449), 1107340.8)</f>
        <v>1107340.8</v>
      </c>
      <c r="BL76" s="68">
        <f>IF($BL$3="yes", MAX(0, (3841580 - 732011.6) / 1055843.00853177), 732011.6)</f>
        <v>732011.6</v>
      </c>
      <c r="BM76" s="68">
        <f>IF($BL$3="yes", MAX(0, (3841580 - 457029.05) / 798626.993957283), 457029.05)</f>
        <v>457029.05</v>
      </c>
      <c r="BN76" s="68">
        <f>IF($BL$3="yes", MAX(0, (3841580 - 332201.34) / 560423.291197844), 332201.34)</f>
        <v>332201.34000000003</v>
      </c>
      <c r="BO76" s="68">
        <f>IF($BL$3="yes", MAX(0, (3841580 - 3479989.21) / 16648348.5630796), 3479989.21)</f>
        <v>3479989.21</v>
      </c>
      <c r="BP76" s="68">
        <f>IF($BL$3="yes", MAX(0, (3841580 - 2374316.945) / 12074312.9827464), 2374316.945)</f>
        <v>2374316.9449999998</v>
      </c>
      <c r="BQ76" s="68"/>
      <c r="BR76" s="68"/>
      <c r="BS76" s="68"/>
      <c r="BT76" s="68">
        <v>5635677.4705196507</v>
      </c>
      <c r="BU76" s="68">
        <v>1529741.188477366</v>
      </c>
      <c r="BV76" s="68">
        <f>IF($Z$3="yes", 0.0862578611876754/$X76, 0.0862578611876754)</f>
        <v>7.1881550989729495E-2</v>
      </c>
      <c r="BW76" s="68">
        <f>IF($Z$3="yes", 0.135695162824175/$X76, 0.135695162824175)</f>
        <v>0.11307930235347916</v>
      </c>
      <c r="BX76" s="68">
        <f>$BW$286 - $BV$286</f>
        <v>7.9430701622470332E-2</v>
      </c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81"/>
      <c r="CR76" s="81"/>
      <c r="CS76" s="68"/>
      <c r="CT76" s="68"/>
      <c r="CU76" s="68"/>
    </row>
    <row r="77" spans="1:99" ht="15.75" customHeight="1" thickBot="1" x14ac:dyDescent="0.3">
      <c r="A77" s="84"/>
      <c r="B77" s="67" t="s">
        <v>128</v>
      </c>
      <c r="C77" s="83" t="s">
        <v>327</v>
      </c>
      <c r="D77" s="67" t="s">
        <v>328</v>
      </c>
      <c r="E77" s="67">
        <v>3</v>
      </c>
      <c r="F77" s="85">
        <v>2.82</v>
      </c>
      <c r="G77" s="313">
        <v>44351</v>
      </c>
      <c r="H77" s="317">
        <v>3.08</v>
      </c>
      <c r="I77" s="85">
        <v>7.7</v>
      </c>
      <c r="J77" s="313">
        <v>44356</v>
      </c>
      <c r="K77" s="101">
        <f t="shared" si="4"/>
        <v>9.219858156028371E-2</v>
      </c>
      <c r="L77" s="127">
        <f t="shared" si="5"/>
        <v>1.7304964539007095</v>
      </c>
      <c r="M77" s="312">
        <v>44407</v>
      </c>
      <c r="N77" s="68"/>
      <c r="O77" s="291">
        <v>4823408</v>
      </c>
      <c r="P77" s="291">
        <v>2180000</v>
      </c>
      <c r="Q77" s="291">
        <v>5</v>
      </c>
      <c r="R77" s="68" t="s">
        <v>152</v>
      </c>
      <c r="S77" s="68" t="s">
        <v>148</v>
      </c>
      <c r="T77" s="67" t="s">
        <v>329</v>
      </c>
      <c r="U77" s="68">
        <v>296</v>
      </c>
      <c r="V77" s="68">
        <v>177097</v>
      </c>
      <c r="W77" s="68"/>
      <c r="X77" s="68">
        <v>2.8</v>
      </c>
      <c r="Y77" s="68">
        <v>2.6382285000000021</v>
      </c>
      <c r="Z77" s="68">
        <v>3.03145</v>
      </c>
      <c r="AA77" s="68">
        <v>2.8502999999999998</v>
      </c>
      <c r="AB77" s="68">
        <v>2.956799999999999</v>
      </c>
      <c r="AC77" s="68">
        <v>2.6597499999999989</v>
      </c>
      <c r="AD77" s="68">
        <v>2.6710714285714281</v>
      </c>
      <c r="AE77" s="68">
        <v>2.7306249999999999</v>
      </c>
      <c r="AF77" s="68">
        <f>IF($Z$3="yes", 0.00582971221780532/$X77, 0.00582971221780532)</f>
        <v>2.0820400777876143E-3</v>
      </c>
      <c r="AG77" s="68">
        <f>IF($Z$3="yes", -0.00578712871287131/$X77, -0.00578712871287131)</f>
        <v>-2.0668316831683252E-3</v>
      </c>
      <c r="AH77" s="68">
        <f>IF($Z$3="yes", -0.0128012004801918/$X77, -0.0128012004801918)</f>
        <v>-4.5718573143542149E-3</v>
      </c>
      <c r="AI77" s="68">
        <f>IF($Z$3="yes", -0.0167241296518605/$X77, -0.0167241296518605)</f>
        <v>-5.9729034470930361E-3</v>
      </c>
      <c r="AJ77" s="68">
        <f>IF($Z$3="yes", 0.00902631578947267/$X77, 0.00902631578947267)</f>
        <v>3.2236842105259535E-3</v>
      </c>
      <c r="AK77" s="68">
        <f>IF($Z$3="yes", 0.0248681318681319/$X77, 0.0248681318681319)</f>
        <v>8.8814756671899645E-3</v>
      </c>
      <c r="AL77" s="68">
        <f>IF($Z$3="yes", 0.0425595238095216/$X77, 0.0425595238095216)</f>
        <v>1.5199829931971999E-2</v>
      </c>
      <c r="AM77" s="68">
        <f>IF($Z$3="yes", 0.393221499999997/$X77, 0.393221499999997)</f>
        <v>0.14043624999999893</v>
      </c>
      <c r="AN77" s="68">
        <f>IF($Z$3="yes", 0.212071499999997/$X77, 0.212071499999997)</f>
        <v>7.5739821428570359E-2</v>
      </c>
      <c r="AO77" s="68">
        <f>IF($Z$3="yes", 0.318571499999997/$X77, 0.318571499999997)</f>
        <v>0.11377553571428466</v>
      </c>
      <c r="AP77" s="68">
        <f>IF($Z$3="yes", 0.0215214999999973/$X77, 0.0215214999999973)</f>
        <v>7.6862499999990359E-3</v>
      </c>
      <c r="AQ77" s="68">
        <f>IF($Z$3="yes", 0.0328429285714255/$X77, 0.0328429285714255)</f>
        <v>1.1729617346937678E-2</v>
      </c>
      <c r="AR77" s="68">
        <f>IF($Z$3="yes", 0.0923964999999977/$X77, 0.0923964999999977)</f>
        <v>3.2998749999999182E-2</v>
      </c>
      <c r="AS77" s="68">
        <f>IF($Z$3="yes", 0.18115/$X77, 0.18115)</f>
        <v>6.4696428571428571E-2</v>
      </c>
      <c r="AT77" s="68">
        <f>IF($Z$3="yes", 0.0746500000000005/$X77, 0.0746500000000005)</f>
        <v>2.6660714285714465E-2</v>
      </c>
      <c r="AU77" s="88">
        <f>IF($Z$3="yes", 0.3717/$X77, 0.3717)</f>
        <v>0.13275000000000001</v>
      </c>
      <c r="AV77" s="88">
        <f>IF($Z$3="yes", 0.360378571428572/$X77, 0.360378571428572)</f>
        <v>0.12870663265306143</v>
      </c>
      <c r="AW77" s="88">
        <f>IF($Z$3="yes", 0.300825/$X77, 0.300825)</f>
        <v>0.10743750000000001</v>
      </c>
      <c r="AX77" s="88">
        <f>IF($Z$3="yes", 0.106499999999999/$X77, 0.106499999999999)</f>
        <v>3.803571428571393E-2</v>
      </c>
      <c r="AY77" s="88">
        <f>IF($Z$3="yes", 0.29705/$X77, 0.29705)</f>
        <v>0.10608928571428572</v>
      </c>
      <c r="AZ77" s="88">
        <f>IF($Z$3="yes", 0.285728571428571/$X77, 0.285728571428571)</f>
        <v>0.10204591836734679</v>
      </c>
      <c r="BA77" s="88">
        <f>IF($Z$3="yes", 0.226174999999999/$X77, 0.226174999999999)</f>
        <v>8.0776785714285357E-2</v>
      </c>
      <c r="BB77" s="88">
        <f>IF($Z$3="yes", 0.19055/$X77, 0.19055)</f>
        <v>6.8053571428571435E-2</v>
      </c>
      <c r="BC77" s="88">
        <f>IF($Z$3="yes", 0.179228571428572/$X77, 0.179228571428572)</f>
        <v>6.4010204081632854E-2</v>
      </c>
      <c r="BD77" s="88">
        <f>IF($Z$3="yes", 0.119674999999999/$X77, 0.119674999999999)</f>
        <v>4.2741071428571073E-2</v>
      </c>
      <c r="BE77" s="88">
        <f>IF($Z$3="yes", 0.0113214285714282/$X77, 0.0113214285714282)</f>
        <v>4.0433673469386427E-3</v>
      </c>
      <c r="BF77" s="88">
        <f>IF($Z$3="yes", 0.0708750000000004/$X77, 0.0708750000000004)</f>
        <v>2.5312500000000144E-2</v>
      </c>
      <c r="BG77" s="88">
        <f>IF($Z$3="yes", 0.0595535714285722/$X77, 0.0595535714285722)</f>
        <v>2.12691326530615E-2</v>
      </c>
      <c r="BH77" s="88">
        <f>IF($Z$3="yes", 0.41439950340136/$X77, 0.41439950340136)</f>
        <v>0.14799982264334285</v>
      </c>
      <c r="BI77" s="68"/>
      <c r="BJ77" s="68"/>
      <c r="BK77" s="68">
        <f>IF($BL$3="yes", MAX(0, (177097 - 342337.2) / 227311.284302737), 342337.2)</f>
        <v>342337.2</v>
      </c>
      <c r="BL77" s="68">
        <f>IF($BL$3="yes", MAX(0, (177097 - 454069) / 498712.347899267), 454069)</f>
        <v>454069</v>
      </c>
      <c r="BM77" s="68">
        <f>IF($BL$3="yes", MAX(0, (177097 - 291587.8) / 391256.711422257), 291587.8)</f>
        <v>291587.8</v>
      </c>
      <c r="BN77" s="68">
        <f>IF($BL$3="yes", MAX(0, (177097 - 547562.5) / 844847.430832366), 547562.5)</f>
        <v>547562.5</v>
      </c>
      <c r="BO77" s="68">
        <f>IF($BL$3="yes", MAX(0, (177097 - 938605.19) / 1675440.2677211), 938605.19)</f>
        <v>938605.19</v>
      </c>
      <c r="BP77" s="68">
        <f>IF($BL$3="yes", MAX(0, (177097 - 721239.893333333) / 1286807.16651946), 721239.893333333)</f>
        <v>721239.89333333296</v>
      </c>
      <c r="BQ77" s="68"/>
      <c r="BR77" s="68"/>
      <c r="BS77" s="68"/>
      <c r="BT77" s="68">
        <v>-4012153.4235839602</v>
      </c>
      <c r="BU77" s="68" t="e">
        <v>#N/A</v>
      </c>
      <c r="BV77" s="68">
        <f>IF($Z$3="yes", 0.213919445735478/$X77, 0.213919445735478)</f>
        <v>7.6399802048385007E-2</v>
      </c>
      <c r="BW77" s="68">
        <f>IF($Z$3="yes", 0.364354434362446/$X77, 0.364354434362446)</f>
        <v>0.1301265837008736</v>
      </c>
      <c r="BX77" s="68">
        <f>$BW$277 - $BV$277</f>
        <v>4.3527890985680107E-2</v>
      </c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81"/>
      <c r="CR77" s="81"/>
      <c r="CS77" s="68"/>
      <c r="CT77" s="68"/>
      <c r="CU77" s="68"/>
    </row>
    <row r="78" spans="1:99" ht="15.75" customHeight="1" thickBot="1" x14ac:dyDescent="0.3">
      <c r="A78" s="84"/>
      <c r="B78" s="67" t="s">
        <v>128</v>
      </c>
      <c r="C78" s="83" t="s">
        <v>330</v>
      </c>
      <c r="D78" s="67" t="s">
        <v>331</v>
      </c>
      <c r="E78" s="67">
        <v>2</v>
      </c>
      <c r="F78" s="85">
        <v>7</v>
      </c>
      <c r="G78" s="313">
        <v>44351</v>
      </c>
      <c r="H78" s="317">
        <v>7.29</v>
      </c>
      <c r="I78" s="85">
        <v>12.28</v>
      </c>
      <c r="J78" s="313">
        <v>44369</v>
      </c>
      <c r="K78" s="118">
        <f t="shared" si="4"/>
        <v>4.142857142857137E-2</v>
      </c>
      <c r="L78" s="133">
        <f t="shared" si="5"/>
        <v>0.75428571428571423</v>
      </c>
      <c r="M78" s="312">
        <v>44407</v>
      </c>
      <c r="N78" s="68"/>
      <c r="O78" s="291">
        <v>2823410</v>
      </c>
      <c r="P78" s="291">
        <v>2380000</v>
      </c>
      <c r="Q78" s="291">
        <v>18</v>
      </c>
      <c r="R78" s="68" t="s">
        <v>131</v>
      </c>
      <c r="S78" s="68" t="s">
        <v>192</v>
      </c>
      <c r="T78" s="68" t="s">
        <v>332</v>
      </c>
      <c r="U78" s="68">
        <v>2004</v>
      </c>
      <c r="V78" s="68">
        <v>502982</v>
      </c>
      <c r="W78" s="68"/>
      <c r="X78" s="68">
        <v>6.99</v>
      </c>
      <c r="Y78" s="68">
        <v>6.2680180000000041</v>
      </c>
      <c r="Z78" s="68">
        <v>7.8135999999999974</v>
      </c>
      <c r="AA78" s="68">
        <v>7.4558000000000018</v>
      </c>
      <c r="AB78" s="68">
        <v>7.8030000000000008</v>
      </c>
      <c r="AC78" s="68">
        <v>6.7184999999999988</v>
      </c>
      <c r="AD78" s="68">
        <v>6.8357142857142872</v>
      </c>
      <c r="AE78" s="68">
        <v>7.0574999999999957</v>
      </c>
      <c r="AF78" s="68">
        <f>IF($Z$3="yes", 0.0193105602640064/$X78, 0.0193105602640064)</f>
        <v>2.7625980349079257E-3</v>
      </c>
      <c r="AG78" s="68">
        <f>IF($Z$3="yes", -0.010986618661866/$X78, -0.010986618661866)</f>
        <v>-1.5717623264472102E-3</v>
      </c>
      <c r="AH78" s="68">
        <f>IF($Z$3="yes", -0.0473867947178876/$X78, -0.0473867947178876)</f>
        <v>-6.7792267121441485E-3</v>
      </c>
      <c r="AI78" s="68">
        <f>IF($Z$3="yes", -0.0587615846338538/$X78, -0.0587615846338538)</f>
        <v>-8.4065214068460379E-3</v>
      </c>
      <c r="AJ78" s="68">
        <f>IF($Z$3="yes", 0.0470751879699277/$X78, 0.0470751879699277)</f>
        <v>6.7346477782443057E-3</v>
      </c>
      <c r="AK78" s="68">
        <f>IF($Z$3="yes", 0.0647032967032949/$X78, 0.0647032967032949)</f>
        <v>9.2565517458218748E-3</v>
      </c>
      <c r="AL78" s="68">
        <f>IF($Z$3="yes", 0.0602380952381087/$X78, 0.0602380952381087)</f>
        <v>8.6177532529483122E-3</v>
      </c>
      <c r="AM78" s="68">
        <f>IF($Z$3="yes", 1.54558199999999/$X78, 1.54558199999999)</f>
        <v>0.22111330472102861</v>
      </c>
      <c r="AN78" s="68">
        <f>IF($Z$3="yes", 1.18778199999999/$X78, 1.18778199999999)</f>
        <v>0.16992589413447637</v>
      </c>
      <c r="AO78" s="68">
        <f>IF($Z$3="yes", 1.53498199999999/$X78, 1.53498199999999)</f>
        <v>0.21959685264663661</v>
      </c>
      <c r="AP78" s="68">
        <f>IF($Z$3="yes", 0.450481999999994/$X78, 0.450481999999994)</f>
        <v>6.4446638054362515E-2</v>
      </c>
      <c r="AQ78" s="68">
        <f>IF($Z$3="yes", 0.567696285714283/$X78, 0.567696285714283)</f>
        <v>8.1215491518495414E-2</v>
      </c>
      <c r="AR78" s="68">
        <f>IF($Z$3="yes", 0.789481999999991/$X78, 0.789481999999991)</f>
        <v>0.11294449213161531</v>
      </c>
      <c r="AS78" s="68">
        <f>IF($Z$3="yes", 0.357799999999994/$X78, 0.357799999999994)</f>
        <v>5.1187410586551359E-2</v>
      </c>
      <c r="AT78" s="68">
        <f>IF($Z$3="yes", 0.0105999999999957/$X78, 0.0105999999999957)</f>
        <v>1.5164520743913732E-3</v>
      </c>
      <c r="AU78" s="88">
        <f>IF($Z$3="yes", 1.09509999999999/$X78, 1.09509999999999)</f>
        <v>0.15666666666666523</v>
      </c>
      <c r="AV78" s="88">
        <f>IF($Z$3="yes", 0.977885714285709/$X78, 0.977885714285709)</f>
        <v>0.13989781320253347</v>
      </c>
      <c r="AW78" s="88">
        <f>IF($Z$3="yes", 0.7561/$X78, 0.7561)</f>
        <v>0.10816881258941344</v>
      </c>
      <c r="AX78" s="88">
        <f>IF($Z$3="yes", 0.347199999999999/$X78, 0.347199999999999)</f>
        <v>4.9670958512160086E-2</v>
      </c>
      <c r="AY78" s="88">
        <f>IF($Z$3="yes", 1.0845/$X78, 1.0845)</f>
        <v>0.15515021459227468</v>
      </c>
      <c r="AZ78" s="88">
        <f>IF($Z$3="yes", 0.967285714285713/$X78, 0.967285714285713)</f>
        <v>0.13838136112814206</v>
      </c>
      <c r="BA78" s="88">
        <f>IF($Z$3="yes", 0.745500000000005/$X78, 0.745500000000005)</f>
        <v>0.10665236051502218</v>
      </c>
      <c r="BB78" s="88">
        <f>IF($Z$3="yes", 0.737300000000003/$X78, 0.737300000000003)</f>
        <v>0.10547925608011487</v>
      </c>
      <c r="BC78" s="88">
        <f>IF($Z$3="yes", 0.620085714285714/$X78, 0.620085714285714)</f>
        <v>8.8710402615981968E-2</v>
      </c>
      <c r="BD78" s="88">
        <f>IF($Z$3="yes", 0.398300000000006/$X78, 0.398300000000006)</f>
        <v>5.6981402002862086E-2</v>
      </c>
      <c r="BE78" s="88">
        <f>IF($Z$3="yes", 0.117214285714288/$X78, 0.117214285714288)</f>
        <v>1.676885346413276E-2</v>
      </c>
      <c r="BF78" s="88">
        <f>IF($Z$3="yes", 0.338999999999996/$X78, 0.338999999999996)</f>
        <v>4.8497854077252649E-2</v>
      </c>
      <c r="BG78" s="88">
        <f>IF($Z$3="yes", 0.221785714285708/$X78, 0.221785714285708)</f>
        <v>3.1729000613119888E-2</v>
      </c>
      <c r="BH78" s="88">
        <f>IF($Z$3="yes", 1.23864351020408/$X78, 1.23864351020408)</f>
        <v>0.17720221891331617</v>
      </c>
      <c r="BI78" s="68"/>
      <c r="BJ78" s="68"/>
      <c r="BK78" s="68">
        <f>IF($BL$3="yes", MAX(0, (502982 - 1368012) / 1156490.30228964), 1368012)</f>
        <v>1368012</v>
      </c>
      <c r="BL78" s="68">
        <f>IF($BL$3="yes", MAX(0, (502982 - 1211620.7) / 944051.589135683), 1211620.7)</f>
        <v>1211620.7</v>
      </c>
      <c r="BM78" s="68">
        <f>IF($BL$3="yes", MAX(0, (502982 - 876935) / 839939.369046599), 876935)</f>
        <v>876935</v>
      </c>
      <c r="BN78" s="68">
        <f>IF($BL$3="yes", MAX(0, (502982 - 563378.42) / 717718.019224321), 563378.42)</f>
        <v>563378.42000000004</v>
      </c>
      <c r="BO78" s="68">
        <f>IF($BL$3="yes", MAX(0, (502982 - 748669) / 1152938.73608491), 748669)</f>
        <v>748669</v>
      </c>
      <c r="BP78" s="68">
        <f>IF($BL$3="yes", MAX(0, (502982 - 562529.515) / 1168712.14953475), 562529.515)</f>
        <v>562529.51500000001</v>
      </c>
      <c r="BQ78" s="68"/>
      <c r="BR78" s="68"/>
      <c r="BS78" s="68"/>
      <c r="BT78" s="68">
        <v>-5796112.8245002646</v>
      </c>
      <c r="BU78" s="68" t="e">
        <v>#N/A</v>
      </c>
      <c r="BV78" s="68">
        <f>IF($Z$3="yes", 0.855682438052753/$X78, 0.855682438052753)</f>
        <v>0.12241522718923505</v>
      </c>
      <c r="BW78" s="68">
        <f>IF($Z$3="yes", 0.839406176650171/$X78, 0.839406176650171)</f>
        <v>0.12008672055081131</v>
      </c>
      <c r="BX78" s="68">
        <f>$BW$283 - $BV$283</f>
        <v>5.0467697642571016E-2</v>
      </c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81"/>
      <c r="CR78" s="81"/>
      <c r="CS78" s="68"/>
      <c r="CT78" s="68"/>
      <c r="CU78" s="68"/>
    </row>
    <row r="79" spans="1:99" ht="15.75" customHeight="1" thickBot="1" x14ac:dyDescent="0.3">
      <c r="A79" s="84"/>
      <c r="B79" s="67" t="s">
        <v>128</v>
      </c>
      <c r="C79" s="83" t="s">
        <v>333</v>
      </c>
      <c r="D79" s="67" t="s">
        <v>334</v>
      </c>
      <c r="E79" s="67">
        <v>1</v>
      </c>
      <c r="F79" s="85">
        <v>3.13</v>
      </c>
      <c r="G79" s="313">
        <v>44351</v>
      </c>
      <c r="H79" s="317">
        <v>14.9</v>
      </c>
      <c r="I79" s="317">
        <v>38.75</v>
      </c>
      <c r="J79" s="313">
        <v>44399</v>
      </c>
      <c r="K79" s="132">
        <f t="shared" si="4"/>
        <v>3.76038338658147</v>
      </c>
      <c r="L79" s="109">
        <f t="shared" si="5"/>
        <v>11.380191693290735</v>
      </c>
      <c r="M79" s="312">
        <v>44407</v>
      </c>
      <c r="N79" s="68"/>
      <c r="O79" s="291">
        <v>3803195</v>
      </c>
      <c r="P79" s="291">
        <v>3770000</v>
      </c>
      <c r="Q79" s="291">
        <v>48</v>
      </c>
      <c r="R79" s="68" t="s">
        <v>131</v>
      </c>
      <c r="S79" s="68" t="s">
        <v>148</v>
      </c>
      <c r="T79" s="67" t="s">
        <v>318</v>
      </c>
      <c r="U79" s="68">
        <v>60</v>
      </c>
      <c r="V79" s="68">
        <v>122100</v>
      </c>
      <c r="W79" s="68"/>
      <c r="X79" s="68">
        <v>3.12</v>
      </c>
      <c r="Y79" s="68">
        <v>2.760648499999999</v>
      </c>
      <c r="Z79" s="68">
        <v>3.508500000000002</v>
      </c>
      <c r="AA79" s="68">
        <v>3.1199999999999979</v>
      </c>
      <c r="AB79" s="68">
        <v>3.2537999999999978</v>
      </c>
      <c r="AC79" s="68">
        <v>2.9610000000000012</v>
      </c>
      <c r="AD79" s="68">
        <v>2.9950000000000001</v>
      </c>
      <c r="AE79" s="68">
        <v>3.0049999999999999</v>
      </c>
      <c r="AF79" s="68">
        <f>IF($Z$3="yes", 0.0112573423085577/$X79, 0.0112573423085577)</f>
        <v>3.6081225347941344E-3</v>
      </c>
      <c r="AG79" s="68">
        <f>IF($Z$3="yes", -0.0146243624362436/$X79, -0.0146243624362436)</f>
        <v>-4.6872956526421792E-3</v>
      </c>
      <c r="AH79" s="68">
        <f>IF($Z$3="yes", -0.0120220888355338/$X79, -0.0120220888355338)</f>
        <v>-3.8532336011326282E-3</v>
      </c>
      <c r="AI79" s="68">
        <f>IF($Z$3="yes", -0.0197843937575027/$X79, -0.0197843937575027)</f>
        <v>-6.3411518453534294E-3</v>
      </c>
      <c r="AJ79" s="68">
        <f>IF($Z$3="yes", 0.00951879699248027/$X79, 0.00951879699248027)</f>
        <v>3.0508964719488042E-3</v>
      </c>
      <c r="AK79" s="68">
        <f>IF($Z$3="yes", 0.0101758241758224/$X79, 0.0101758241758224)</f>
        <v>3.2614821076353846E-3</v>
      </c>
      <c r="AL79" s="68">
        <f>IF($Z$3="yes", 0.0314285714285746/$X79, 0.0314285714285746)</f>
        <v>1.007326007326109E-2</v>
      </c>
      <c r="AM79" s="68">
        <f>IF($Z$3="yes", 0.747851500000002/$X79, 0.747851500000002)</f>
        <v>0.23969599358974422</v>
      </c>
      <c r="AN79" s="68">
        <f>IF($Z$3="yes", 0.359351499999998/$X79, 0.359351499999998)</f>
        <v>0.11517676282051217</v>
      </c>
      <c r="AO79" s="68">
        <f>IF($Z$3="yes", 0.493151499999998/$X79, 0.493151499999998)</f>
        <v>0.15806137820512756</v>
      </c>
      <c r="AP79" s="68">
        <f>IF($Z$3="yes", 0.200351500000001/$X79, 0.200351500000001)</f>
        <v>6.4215224358974671E-2</v>
      </c>
      <c r="AQ79" s="68">
        <f>IF($Z$3="yes", 0.2343515/$X79, 0.2343515)</f>
        <v>7.5112660256410252E-2</v>
      </c>
      <c r="AR79" s="68">
        <f>IF($Z$3="yes", 0.2443515/$X79, 0.2443515)</f>
        <v>7.831778846153846E-2</v>
      </c>
      <c r="AS79" s="68">
        <f>IF($Z$3="yes", 0.388500000000003/$X79, 0.388500000000003)</f>
        <v>0.12451923076923173</v>
      </c>
      <c r="AT79" s="68">
        <f>IF($Z$3="yes", 0.254700000000003/$X79, 0.254700000000003)</f>
        <v>8.1634615384616332E-2</v>
      </c>
      <c r="AU79" s="88">
        <f>IF($Z$3="yes", 0.5475/$X79, 0.5475)</f>
        <v>0.17548076923076922</v>
      </c>
      <c r="AV79" s="88">
        <f>IF($Z$3="yes", 0.513500000000001/$X79, 0.513500000000001)</f>
        <v>0.16458333333333364</v>
      </c>
      <c r="AW79" s="88">
        <f>IF($Z$3="yes", 0.503500000000001/$X79, 0.503500000000001)</f>
        <v>0.16137820512820542</v>
      </c>
      <c r="AX79" s="88">
        <f>IF($Z$3="yes", 0.133799999999999/$X79, 0.133799999999999)</f>
        <v>4.2884615384615063E-2</v>
      </c>
      <c r="AY79" s="88">
        <f>IF($Z$3="yes", 0.292799999999997/$X79, 0.292799999999997)</f>
        <v>9.3846153846152885E-2</v>
      </c>
      <c r="AZ79" s="88">
        <f>IF($Z$3="yes", 0.258799999999998/$X79, 0.258799999999998)</f>
        <v>8.294871794871729E-2</v>
      </c>
      <c r="BA79" s="88">
        <f>IF($Z$3="yes", 0.248799999999997/$X79, 0.248799999999997)</f>
        <v>7.9743589743588777E-2</v>
      </c>
      <c r="BB79" s="88">
        <f>IF($Z$3="yes", 0.158999999999997/$X79, 0.158999999999997)</f>
        <v>5.0961538461537496E-2</v>
      </c>
      <c r="BC79" s="88">
        <f>IF($Z$3="yes", 0.124999999999998/$X79, 0.124999999999998)</f>
        <v>4.0064102564101922E-2</v>
      </c>
      <c r="BD79" s="88">
        <f>IF($Z$3="yes", 0.114999999999997/$X79, 0.114999999999997)</f>
        <v>3.6858974358973395E-2</v>
      </c>
      <c r="BE79" s="88">
        <f>IF($Z$3="yes", 0.0339999999999989/$X79, 0.0339999999999989)</f>
        <v>1.0897435897435545E-2</v>
      </c>
      <c r="BF79" s="88">
        <f>IF($Z$3="yes", 0.0439999999999995/$X79, 0.0439999999999995)</f>
        <v>1.4102564102563941E-2</v>
      </c>
      <c r="BG79" s="88">
        <f>IF($Z$3="yes", 0.0100000000000006/$X79, 0.0100000000000006)</f>
        <v>3.2051282051283976E-3</v>
      </c>
      <c r="BH79" s="88">
        <f>IF($Z$3="yes", 0.51433838095238/$X79, 0.51433838095238)</f>
        <v>0.16485204517704488</v>
      </c>
      <c r="BI79" s="68"/>
      <c r="BJ79" s="68"/>
      <c r="BK79" s="68">
        <f>IF($BL$3="yes", MAX(0, (122100 - 133523.2) / 57688.4891201009), 133523.2)</f>
        <v>133523.20000000001</v>
      </c>
      <c r="BL79" s="68">
        <f>IF($BL$3="yes", MAX(0, (122100 - 111107.8) / 77345.0824911319), 111107.8)</f>
        <v>111107.8</v>
      </c>
      <c r="BM79" s="68">
        <f>IF($BL$3="yes", MAX(0, (122100 - 85581.3) / 62791.4478819369), 85581.3)</f>
        <v>85581.3</v>
      </c>
      <c r="BN79" s="68">
        <f>IF($BL$3="yes", MAX(0, (122100 - 72019.68) / 49761.1231973073), 72019.68)</f>
        <v>72019.679999999993</v>
      </c>
      <c r="BO79" s="68">
        <f>IF($BL$3="yes", MAX(0, (122100 - 215884.81) / 309181.600116361), 215884.81)</f>
        <v>215884.81</v>
      </c>
      <c r="BP79" s="68">
        <f>IF($BL$3="yes", MAX(0, (122100 - 603148.94) / 4764169.48952652), 603148.94)</f>
        <v>603148.93999999994</v>
      </c>
      <c r="BQ79" s="68"/>
      <c r="BR79" s="68"/>
      <c r="BS79" s="68"/>
      <c r="BT79" s="68">
        <v>341233.99916139938</v>
      </c>
      <c r="BU79" s="68" t="e">
        <v>#N/A</v>
      </c>
      <c r="BV79" s="68">
        <f>IF($Z$3="yes", 0.173930545869461/$X79, 0.173930545869461)</f>
        <v>5.5746969829955445E-2</v>
      </c>
      <c r="BW79" s="68">
        <f>IF($Z$3="yes", 0.234646800169274/$X79, 0.234646800169274)</f>
        <v>7.5207307746562174E-2</v>
      </c>
      <c r="BX79" s="68">
        <f>$BW$282 - $BV$282</f>
        <v>5.5095283395743738E-2</v>
      </c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81"/>
      <c r="CR79" s="81"/>
      <c r="CS79" s="68"/>
      <c r="CT79" s="68"/>
      <c r="CU79" s="68"/>
    </row>
    <row r="80" spans="1:99" ht="15.75" customHeight="1" thickBot="1" x14ac:dyDescent="0.3">
      <c r="A80" s="84"/>
      <c r="B80" s="67" t="s">
        <v>128</v>
      </c>
      <c r="C80" s="83" t="s">
        <v>335</v>
      </c>
      <c r="D80" s="67" t="s">
        <v>336</v>
      </c>
      <c r="E80" s="67">
        <v>1</v>
      </c>
      <c r="F80" s="85">
        <v>3.8</v>
      </c>
      <c r="G80" s="313">
        <v>44351</v>
      </c>
      <c r="H80" s="317">
        <v>3.34</v>
      </c>
      <c r="I80" s="85">
        <v>9.0299999999999994</v>
      </c>
      <c r="J80" s="313">
        <v>44363</v>
      </c>
      <c r="K80" s="96">
        <f t="shared" si="4"/>
        <v>-0.12105263157894741</v>
      </c>
      <c r="L80" s="134">
        <f t="shared" si="5"/>
        <v>1.3763157894736842</v>
      </c>
      <c r="M80" s="312">
        <v>44407</v>
      </c>
      <c r="N80" s="68"/>
      <c r="O80" s="291">
        <v>8970162</v>
      </c>
      <c r="P80" s="291">
        <v>6620000</v>
      </c>
      <c r="Q80" s="291">
        <v>12</v>
      </c>
      <c r="R80" s="68" t="s">
        <v>131</v>
      </c>
      <c r="S80" s="68" t="s">
        <v>188</v>
      </c>
      <c r="T80" s="68" t="s">
        <v>189</v>
      </c>
      <c r="U80" s="68">
        <v>72</v>
      </c>
      <c r="V80" s="68">
        <v>275675</v>
      </c>
      <c r="W80" s="68"/>
      <c r="X80" s="68">
        <v>3.81</v>
      </c>
      <c r="Y80" s="68" t="e">
        <v>#N/A</v>
      </c>
      <c r="Z80" s="68" t="e">
        <v>#N/A</v>
      </c>
      <c r="AA80" s="68">
        <v>3.857644000000001</v>
      </c>
      <c r="AB80" s="68">
        <v>4.0742440000000002</v>
      </c>
      <c r="AC80" s="68">
        <v>3.791500000000001</v>
      </c>
      <c r="AD80" s="68">
        <v>3.633571428571428</v>
      </c>
      <c r="AE80" s="68">
        <v>3.6362499999999991</v>
      </c>
      <c r="AF80" s="68" t="e">
        <f>IF($Z$3="yes", #N/A/$X80, #N/A)</f>
        <v>#N/A</v>
      </c>
      <c r="AG80" s="68" t="e">
        <f>IF($Z$3="yes", #N/A/$X80, #N/A)</f>
        <v>#N/A</v>
      </c>
      <c r="AH80" s="68">
        <f>IF($Z$3="yes", -0.00705833373349344/$X80, -0.00705833373349344)</f>
        <v>-1.8525810324129764E-3</v>
      </c>
      <c r="AI80" s="68">
        <f>IF($Z$3="yes", -0.0163023193277311/$X80, -0.0163023193277311)</f>
        <v>-4.2788239705330968E-3</v>
      </c>
      <c r="AJ80" s="68">
        <f>IF($Z$3="yes", -0.0333759398496249/$X80, -0.0333759398496249)</f>
        <v>-8.7600891993766129E-3</v>
      </c>
      <c r="AK80" s="68">
        <f>IF($Z$3="yes", 0.00134065934065947/$X80, 0.00134065934065947)</f>
        <v>3.5187909203660629E-4</v>
      </c>
      <c r="AL80" s="68">
        <f>IF($Z$3="yes", 0.0327380952380918/$X80, 0.0327380952380918)</f>
        <v>8.5926759155096587E-3</v>
      </c>
      <c r="AM80" s="68"/>
      <c r="AN80" s="68"/>
      <c r="AO80" s="68"/>
      <c r="AP80" s="68"/>
      <c r="AQ80" s="68"/>
      <c r="AR80" s="68"/>
      <c r="AS80" s="68"/>
      <c r="AT80" s="68"/>
      <c r="AU80" s="88"/>
      <c r="AV80" s="88"/>
      <c r="AW80" s="88"/>
      <c r="AX80" s="88">
        <f>IF($Z$3="yes", 0.216599999999999/$X80, 0.216599999999999)</f>
        <v>5.6850393700787136E-2</v>
      </c>
      <c r="AY80" s="88">
        <f>IF($Z$3="yes", 0.282743999999998/$X80, 0.282743999999998)</f>
        <v>7.4211023622046721E-2</v>
      </c>
      <c r="AZ80" s="88">
        <f>IF($Z$3="yes", 0.440672571428572/$X80, 0.440672571428572)</f>
        <v>0.11566209223847035</v>
      </c>
      <c r="BA80" s="88">
        <f>IF($Z$3="yes", 0.437994000000001/$X80, 0.437994000000001)</f>
        <v>0.1149590551181105</v>
      </c>
      <c r="BB80" s="88">
        <f>IF($Z$3="yes", 0.066143999999999/$X80, 0.066143999999999)</f>
        <v>1.7360629921259578E-2</v>
      </c>
      <c r="BC80" s="88">
        <f>IF($Z$3="yes", 0.224072571428572/$X80, 0.224072571428572)</f>
        <v>5.8811698537682942E-2</v>
      </c>
      <c r="BD80" s="88">
        <f>IF($Z$3="yes", 0.221394000000001/$X80, 0.221394000000001)</f>
        <v>5.8108661417323099E-2</v>
      </c>
      <c r="BE80" s="88">
        <f>IF($Z$3="yes", 0.157928571428573/$X80, 0.157928571428573)</f>
        <v>4.1451068616423357E-2</v>
      </c>
      <c r="BF80" s="88">
        <f>IF($Z$3="yes", 0.155250000000002/$X80, 0.155250000000002)</f>
        <v>4.0748031496063514E-2</v>
      </c>
      <c r="BG80" s="88">
        <f>IF($Z$3="yes", 0.00267857142857108/$X80, 0.00267857142857108)</f>
        <v>7.0303712035986346E-4</v>
      </c>
      <c r="BH80" s="88">
        <f>IF($Z$3="yes", 0.45120474829932/$X80, 0.45120474829932)</f>
        <v>0.1184264431231811</v>
      </c>
      <c r="BI80" s="68"/>
      <c r="BJ80" s="68"/>
      <c r="BK80" s="68">
        <f>IF($BL$3="yes", MAX(0, (275675 - 281200.2) / 242226.203280652), 281200.2)</f>
        <v>281200.2</v>
      </c>
      <c r="BL80" s="68">
        <f>IF($BL$3="yes", MAX(0, (275675 - 173275.8) / 203907.166098595), 173275.8)</f>
        <v>173275.8</v>
      </c>
      <c r="BM80" s="68">
        <f>IF($BL$3="yes", MAX(0, (275675 - 216403.05) / 295941.951496991), 216403.05)</f>
        <v>216403.05</v>
      </c>
      <c r="BN80" s="68">
        <f>IF($BL$3="yes", MAX(0, (275675 - 190081.52) / 394437.170048272), 190081.52)</f>
        <v>190081.52</v>
      </c>
      <c r="BO80" s="68">
        <f>IF($BL$3="yes", MAX(0, (275675 - 130584.36) / 293703.918095333), 130584.36)</f>
        <v>130584.36</v>
      </c>
      <c r="BP80" s="68">
        <f>IF($BL$3="yes", MAX(0, (275675 - 86389.7662337662) / 244217.222788184), 86389.7662337662)</f>
        <v>86389.766233766204</v>
      </c>
      <c r="BQ80" s="68"/>
      <c r="BR80" s="68"/>
      <c r="BS80" s="68"/>
      <c r="BT80" s="68">
        <v>-1860483.4452234451</v>
      </c>
      <c r="BU80" s="68" t="e">
        <v>#N/A</v>
      </c>
      <c r="BV80" s="68">
        <f>IF($Z$3="yes", 0.399270565102525/$X80, 0.399270565102525)</f>
        <v>0.10479542391142388</v>
      </c>
      <c r="BW80" s="68">
        <f>IF($Z$3="yes", 0.512779540652401/$X80, 0.512779540652401)</f>
        <v>0.13458780594551206</v>
      </c>
      <c r="BX80" s="68">
        <f>$BW$285 - $BV$285</f>
        <v>-6.8229479946144561E-3</v>
      </c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81"/>
      <c r="CR80" s="81"/>
      <c r="CS80" s="68"/>
      <c r="CT80" s="68"/>
      <c r="CU80" s="68"/>
    </row>
    <row r="81" spans="1:99" ht="15.75" customHeight="1" thickBot="1" x14ac:dyDescent="0.3">
      <c r="A81" s="84"/>
      <c r="B81" s="67" t="s">
        <v>128</v>
      </c>
      <c r="C81" s="83" t="s">
        <v>337</v>
      </c>
      <c r="D81" s="67" t="s">
        <v>338</v>
      </c>
      <c r="E81" s="67">
        <v>2</v>
      </c>
      <c r="F81" s="85">
        <v>2.09</v>
      </c>
      <c r="G81" s="313">
        <v>44351</v>
      </c>
      <c r="H81" s="317">
        <v>1.97</v>
      </c>
      <c r="I81" s="317">
        <v>2.82</v>
      </c>
      <c r="J81" s="313">
        <v>44393</v>
      </c>
      <c r="K81" s="87">
        <f t="shared" si="4"/>
        <v>-5.7416267942583699E-2</v>
      </c>
      <c r="L81" s="109">
        <f t="shared" si="5"/>
        <v>0.34928229665071764</v>
      </c>
      <c r="M81" s="312">
        <v>44407</v>
      </c>
      <c r="N81" s="68"/>
      <c r="O81" s="291">
        <v>25617807</v>
      </c>
      <c r="P81" s="291">
        <v>6790000</v>
      </c>
      <c r="Q81" s="291">
        <v>42</v>
      </c>
      <c r="R81" s="68" t="s">
        <v>152</v>
      </c>
      <c r="S81" s="68"/>
      <c r="T81" s="68" t="s">
        <v>339</v>
      </c>
      <c r="U81" s="68">
        <v>112</v>
      </c>
      <c r="V81" s="68">
        <v>205979</v>
      </c>
      <c r="W81" s="68"/>
      <c r="X81" s="68">
        <v>2.1</v>
      </c>
      <c r="Y81" s="68">
        <v>1.7713245</v>
      </c>
      <c r="Z81" s="68">
        <v>2.1117179999999989</v>
      </c>
      <c r="AA81" s="68">
        <v>2.0685739999999999</v>
      </c>
      <c r="AB81" s="68">
        <v>2.106450000000001</v>
      </c>
      <c r="AC81" s="68">
        <v>1.9279999999999999</v>
      </c>
      <c r="AD81" s="68">
        <v>1.9750000000000021</v>
      </c>
      <c r="AE81" s="68">
        <v>1.983750000000001</v>
      </c>
      <c r="AF81" s="68">
        <f>IF($Z$3="yes", 0.00622797037425932/$X81, 0.00622797037425932)</f>
        <v>2.9657001782187236E-3</v>
      </c>
      <c r="AG81" s="68">
        <f>IF($Z$3="yes", -0.00186874047404729/$X81, -0.00186874047404729)</f>
        <v>-8.8987641621299522E-4</v>
      </c>
      <c r="AH81" s="68">
        <f>IF($Z$3="yes", -0.00469078031212492/$X81, -0.00469078031212492)</f>
        <v>-2.2337049105356759E-3</v>
      </c>
      <c r="AI81" s="68">
        <f>IF($Z$3="yes", -0.00397032893157266/$X81, -0.00397032893157266)</f>
        <v>-1.8906328245584093E-3</v>
      </c>
      <c r="AJ81" s="68">
        <f>IF($Z$3="yes", 0.0102556390977441/$X81, 0.0102556390977441)</f>
        <v>4.8836376655924281E-3</v>
      </c>
      <c r="AK81" s="68">
        <f>IF($Z$3="yes", 0.00635164835164792/$X81, 0.00635164835164792)</f>
        <v>3.0245944531656758E-3</v>
      </c>
      <c r="AL81" s="68">
        <f>IF($Z$3="yes", 0.0282142857142864/$X81, 0.0282142857142864)</f>
        <v>1.343537414966019E-2</v>
      </c>
      <c r="AM81" s="68">
        <f>IF($Z$3="yes", 0.340393499999998/$X81, 0.340393499999998)</f>
        <v>0.16209214285714191</v>
      </c>
      <c r="AN81" s="68">
        <f>IF($Z$3="yes", 0.297249499999999/$X81, 0.297249499999999)</f>
        <v>0.14154738095238048</v>
      </c>
      <c r="AO81" s="68">
        <f>IF($Z$3="yes", 0.3351255/$X81, 0.3351255)</f>
        <v>0.15958357142857144</v>
      </c>
      <c r="AP81" s="68">
        <f>IF($Z$3="yes", 0.156675499999999/$X81, 0.156675499999999)</f>
        <v>7.4607380952380467E-2</v>
      </c>
      <c r="AQ81" s="68">
        <f>IF($Z$3="yes", 0.203675500000001/$X81, 0.203675500000001)</f>
        <v>9.6988333333333815E-2</v>
      </c>
      <c r="AR81" s="68">
        <f>IF($Z$3="yes", 0.2124255/$X81, 0.2124255)</f>
        <v>0.10115499999999999</v>
      </c>
      <c r="AS81" s="68">
        <f>IF($Z$3="yes", 0.0431439999999989/$X81, 0.0431439999999989)</f>
        <v>2.0544761904761379E-2</v>
      </c>
      <c r="AT81" s="68">
        <f>IF($Z$3="yes", 0.00526799999999871/$X81, 0.00526799999999871)</f>
        <v>2.5085714285708145E-3</v>
      </c>
      <c r="AU81" s="88">
        <f>IF($Z$3="yes", 0.183717999999999/$X81, 0.183717999999999)</f>
        <v>8.7484761904761427E-2</v>
      </c>
      <c r="AV81" s="88">
        <f>IF($Z$3="yes", 0.136717999999997/$X81, 0.136717999999997)</f>
        <v>6.5103809523808093E-2</v>
      </c>
      <c r="AW81" s="88">
        <f>IF($Z$3="yes", 0.127967999999998/$X81, 0.127967999999998)</f>
        <v>6.0937142857141899E-2</v>
      </c>
      <c r="AX81" s="88">
        <f>IF($Z$3="yes", 0.0378760000000002/$X81, 0.0378760000000002)</f>
        <v>1.803619047619057E-2</v>
      </c>
      <c r="AY81" s="88">
        <f>IF($Z$3="yes", 0.17845/$X81, 0.17845)</f>
        <v>8.4976190476190469E-2</v>
      </c>
      <c r="AZ81" s="88">
        <f>IF($Z$3="yes", 0.131449999999998/$X81, 0.131449999999998)</f>
        <v>6.2595238095237149E-2</v>
      </c>
      <c r="BA81" s="88">
        <f>IF($Z$3="yes", 0.122699999999999/$X81, 0.122699999999999)</f>
        <v>5.8428571428570955E-2</v>
      </c>
      <c r="BB81" s="88">
        <f>IF($Z$3="yes", 0.140574/$X81, 0.140574)</f>
        <v>6.694E-2</v>
      </c>
      <c r="BC81" s="88">
        <f>IF($Z$3="yes", 0.0935739999999984/$X81, 0.0935739999999984)</f>
        <v>4.4559047619046853E-2</v>
      </c>
      <c r="BD81" s="88">
        <f>IF($Z$3="yes", 0.0848239999999993/$X81, 0.0848239999999993)</f>
        <v>4.0392380952380617E-2</v>
      </c>
      <c r="BE81" s="88">
        <f>IF($Z$3="yes", 0.0470000000000017/$X81, 0.0470000000000017)</f>
        <v>2.2380952380953188E-2</v>
      </c>
      <c r="BF81" s="88">
        <f>IF($Z$3="yes", 0.0557500000000008/$X81, 0.0557500000000008)</f>
        <v>2.6547619047619427E-2</v>
      </c>
      <c r="BG81" s="88">
        <f>IF($Z$3="yes", 0.00874999999999914/$X81, 0.00874999999999914)</f>
        <v>4.1666666666662572E-3</v>
      </c>
      <c r="BH81" s="88">
        <f>IF($Z$3="yes", 0.298305523809523/$X81, 0.298305523809523)</f>
        <v>0.14205024943310621</v>
      </c>
      <c r="BI81" s="68"/>
      <c r="BJ81" s="68"/>
      <c r="BK81" s="68">
        <f>IF($BL$3="yes", MAX(0, (205979 - 227504.4) / 63832.1737389539), 227504.4)</f>
        <v>227504.4</v>
      </c>
      <c r="BL81" s="68">
        <f>IF($BL$3="yes", MAX(0, (205979 - 158217.3) / 84727.5212620433), 158217.3)</f>
        <v>158217.29999999999</v>
      </c>
      <c r="BM81" s="68">
        <f>IF($BL$3="yes", MAX(0, (205979 - 1015642.5) / 3449697.63148217), 1015642.5)</f>
        <v>1015642.5</v>
      </c>
      <c r="BN81" s="68">
        <f>IF($BL$3="yes", MAX(0, (205979 - 516122.36) / 2222921.56935507), 516122.36)</f>
        <v>516122.36</v>
      </c>
      <c r="BO81" s="68">
        <f>IF($BL$3="yes", MAX(0, (205979 - 593048.21) / 1928439.93389087), 593048.21)</f>
        <v>593048.21</v>
      </c>
      <c r="BP81" s="68">
        <f>IF($BL$3="yes", MAX(0, (205979 - 1069253.255) / 8754175.84769145), 1069253.255)</f>
        <v>1069253.2549999999</v>
      </c>
      <c r="BQ81" s="68"/>
      <c r="BR81" s="68"/>
      <c r="BS81" s="68"/>
      <c r="BT81" s="68">
        <v>-6172450.2481764005</v>
      </c>
      <c r="BU81" s="68" t="e">
        <v>#N/A</v>
      </c>
      <c r="BV81" s="68">
        <f>IF($Z$3="yes", 0.187709602779487/$X81, 0.187709602779487)</f>
        <v>8.9385525133089047E-2</v>
      </c>
      <c r="BW81" s="68">
        <f>IF($Z$3="yes", 0.206801182123618/$X81, 0.206801182123618)</f>
        <v>9.8476753392199051E-2</v>
      </c>
      <c r="BX81" s="68">
        <f>$BW$279 - $BV$279</f>
        <v>-3.3102824664104288E-2</v>
      </c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81"/>
      <c r="CR81" s="81"/>
      <c r="CS81" s="68"/>
      <c r="CT81" s="68"/>
      <c r="CU81" s="68"/>
    </row>
    <row r="82" spans="1:99" ht="15.75" customHeight="1" thickBot="1" x14ac:dyDescent="0.3">
      <c r="A82" s="84"/>
      <c r="B82" s="67" t="s">
        <v>128</v>
      </c>
      <c r="C82" s="83" t="s">
        <v>340</v>
      </c>
      <c r="D82" s="67" t="s">
        <v>341</v>
      </c>
      <c r="E82" s="67">
        <v>1</v>
      </c>
      <c r="F82" s="85">
        <v>7.61</v>
      </c>
      <c r="G82" s="313">
        <v>44351</v>
      </c>
      <c r="H82" s="317">
        <v>4.6500000000000004</v>
      </c>
      <c r="I82" s="85">
        <v>8.61</v>
      </c>
      <c r="J82" s="313">
        <v>44356</v>
      </c>
      <c r="K82" s="125">
        <f t="shared" si="4"/>
        <v>-0.38896189224704336</v>
      </c>
      <c r="L82" s="126">
        <f t="shared" si="5"/>
        <v>0.13140604467805517</v>
      </c>
      <c r="M82" s="312">
        <v>44407</v>
      </c>
      <c r="N82" s="68"/>
      <c r="O82" s="291">
        <v>15116503</v>
      </c>
      <c r="P82" s="291">
        <v>12510000</v>
      </c>
      <c r="Q82" s="291">
        <v>5</v>
      </c>
      <c r="R82" s="68" t="s">
        <v>131</v>
      </c>
      <c r="S82" s="68" t="s">
        <v>148</v>
      </c>
      <c r="T82" s="67" t="s">
        <v>342</v>
      </c>
      <c r="U82" s="68">
        <v>28</v>
      </c>
      <c r="V82" s="68">
        <v>93211</v>
      </c>
      <c r="W82" s="68"/>
      <c r="X82" s="68">
        <v>7.69</v>
      </c>
      <c r="Y82" s="68" t="e">
        <v>#N/A</v>
      </c>
      <c r="Z82" s="68" t="e">
        <v>#N/A</v>
      </c>
      <c r="AA82" s="68" t="e">
        <v>#N/A</v>
      </c>
      <c r="AB82" s="68" t="e">
        <v>#N/A</v>
      </c>
      <c r="AC82" s="68">
        <v>7.4345000000000017</v>
      </c>
      <c r="AD82" s="68">
        <v>7.4457142857142884</v>
      </c>
      <c r="AE82" s="68">
        <v>7.4125000000000014</v>
      </c>
      <c r="AF82" s="68" t="e">
        <f>IF($Z$3="yes", #N/A/$X82, #N/A)</f>
        <v>#N/A</v>
      </c>
      <c r="AG82" s="68" t="e">
        <f>IF($Z$3="yes", #N/A/$X82, #N/A)</f>
        <v>#N/A</v>
      </c>
      <c r="AH82" s="68" t="e">
        <f>IF($Z$3="yes", #N/A/$X82, #N/A)</f>
        <v>#N/A</v>
      </c>
      <c r="AI82" s="68" t="e">
        <f>IF($Z$3="yes", #N/A/$X82, #N/A)</f>
        <v>#N/A</v>
      </c>
      <c r="AJ82" s="68">
        <f>IF($Z$3="yes", 0.000714285714284893/$X82, 0.000714285714284893)</f>
        <v>9.2885008359543949E-5</v>
      </c>
      <c r="AK82" s="68">
        <f>IF($Z$3="yes", 0.000527472527469763/$X82, 0.000527472527469763)</f>
        <v>6.8592006172921071E-5</v>
      </c>
      <c r="AL82" s="68">
        <f>IF($Z$3="yes", 0.0509523809523833/$X82, 0.0509523809523833)</f>
        <v>6.6257972629887255E-3</v>
      </c>
      <c r="AM82" s="68"/>
      <c r="AN82" s="68"/>
      <c r="AO82" s="68"/>
      <c r="AP82" s="68"/>
      <c r="AQ82" s="68"/>
      <c r="AR82" s="68"/>
      <c r="AS82" s="68"/>
      <c r="AT82" s="6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>
        <f>IF($Z$3="yes", 0.0112142857142867/$X82, 0.0112142857142867)</f>
        <v>1.458294631246645E-3</v>
      </c>
      <c r="BF82" s="88">
        <f>IF($Z$3="yes", 0.0220000000000002/$X82, 0.0220000000000002)</f>
        <v>2.8608582574772691E-3</v>
      </c>
      <c r="BG82" s="88">
        <f>IF($Z$3="yes", 0.0332142857142869/$X82, 0.0332142857142869)</f>
        <v>4.3191528887239136E-3</v>
      </c>
      <c r="BH82" s="88">
        <f>IF($Z$3="yes", 0.710697278911565/$X82, 0.710697278911565)</f>
        <v>9.2418371770034452E-2</v>
      </c>
      <c r="BI82" s="68"/>
      <c r="BJ82" s="68"/>
      <c r="BK82" s="68">
        <f>IF($BL$3="yes", MAX(0, (93211 - 86849.2) / 23460.7495992775), 86849.2)</f>
        <v>86849.2</v>
      </c>
      <c r="BL82" s="68">
        <f>IF($BL$3="yes", MAX(0, (93211 - 98779) / 36342.9845472272), 98779)</f>
        <v>98779</v>
      </c>
      <c r="BM82" s="68">
        <f>IF($BL$3="yes", MAX(0, (93211 - 95070.75) / 32402.9391350152), 95070.75)</f>
        <v>95070.75</v>
      </c>
      <c r="BN82" s="68">
        <f>IF($BL$3="yes", MAX(0, (93211 - 107087.9375) / 45726.9362506509), 107087.9375)</f>
        <v>107087.9375</v>
      </c>
      <c r="BO82" s="68">
        <f>IF($BL$3="yes", MAX(0, (93211 - 107087.9375) / 45726.9362506509), 107087.9375)</f>
        <v>107087.9375</v>
      </c>
      <c r="BP82" s="68">
        <f>IF($BL$3="yes", MAX(0, (93211 - 107087.9375) / 45726.9362506509), 107087.9375)</f>
        <v>107087.9375</v>
      </c>
      <c r="BQ82" s="68"/>
      <c r="BR82" s="68"/>
      <c r="BS82" s="68"/>
      <c r="BT82" s="68">
        <v>228822.2015512494</v>
      </c>
      <c r="BU82" s="68" t="e">
        <v>#N/A</v>
      </c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81"/>
      <c r="CR82" s="81"/>
      <c r="CS82" s="68"/>
      <c r="CT82" s="68"/>
      <c r="CU82" s="68"/>
    </row>
    <row r="83" spans="1:99" ht="15.75" customHeight="1" thickBot="1" x14ac:dyDescent="0.3">
      <c r="A83" s="84"/>
      <c r="B83" s="67" t="s">
        <v>128</v>
      </c>
      <c r="C83" s="83" t="s">
        <v>343</v>
      </c>
      <c r="D83" s="67" t="s">
        <v>344</v>
      </c>
      <c r="E83" s="67">
        <v>1</v>
      </c>
      <c r="F83" s="85">
        <v>3.3</v>
      </c>
      <c r="G83" s="313">
        <v>44351</v>
      </c>
      <c r="H83" s="317">
        <v>2.19</v>
      </c>
      <c r="I83" s="85">
        <v>3.48</v>
      </c>
      <c r="J83" s="313">
        <v>44357</v>
      </c>
      <c r="K83" s="125">
        <f t="shared" si="4"/>
        <v>-0.33636363636363631</v>
      </c>
      <c r="L83" s="93">
        <f t="shared" si="5"/>
        <v>5.4545454545454675E-2</v>
      </c>
      <c r="M83" s="312">
        <v>44407</v>
      </c>
      <c r="N83" s="68"/>
      <c r="O83" s="291">
        <v>20901703</v>
      </c>
      <c r="P83" s="291">
        <v>15850000</v>
      </c>
      <c r="Q83" s="291">
        <v>6</v>
      </c>
      <c r="R83" s="68" t="s">
        <v>345</v>
      </c>
      <c r="S83" s="68" t="s">
        <v>148</v>
      </c>
      <c r="T83" s="68" t="s">
        <v>217</v>
      </c>
      <c r="U83" s="68">
        <v>24</v>
      </c>
      <c r="V83" s="68">
        <v>109890</v>
      </c>
      <c r="W83" s="68"/>
      <c r="X83" s="68">
        <v>3.35</v>
      </c>
      <c r="Y83" s="68">
        <v>3.6082750000000021</v>
      </c>
      <c r="Z83" s="68">
        <v>4.2384999999999993</v>
      </c>
      <c r="AA83" s="68">
        <v>3.4705999999999979</v>
      </c>
      <c r="AB83" s="68">
        <v>3.7078000000000002</v>
      </c>
      <c r="AC83" s="68">
        <v>3.242</v>
      </c>
      <c r="AD83" s="68">
        <v>3.286428571428571</v>
      </c>
      <c r="AE83" s="68">
        <v>3.2387499999999991</v>
      </c>
      <c r="AF83" s="68">
        <f>IF($Z$3="yes", 0.00997826820670504/$X83, 0.00997826820670504)</f>
        <v>2.9785875243895643E-3</v>
      </c>
      <c r="AG83" s="68">
        <f>IF($Z$3="yes", -0.0250168016801679/$X83, -0.0250168016801679)</f>
        <v>-7.4677019940799696E-3</v>
      </c>
      <c r="AH83" s="68">
        <f>IF($Z$3="yes", -0.0145310924369744/$X83, -0.0145310924369744)</f>
        <v>-4.3376395334251937E-3</v>
      </c>
      <c r="AI83" s="68">
        <f>IF($Z$3="yes", -0.029420888355342/$X83, -0.029420888355342)</f>
        <v>-8.7823547329379109E-3</v>
      </c>
      <c r="AJ83" s="68">
        <f>IF($Z$3="yes", 0.0114436090225554/$X83, 0.0114436090225554)</f>
        <v>3.4160026933001196E-3</v>
      </c>
      <c r="AK83" s="68">
        <f>IF($Z$3="yes", -0.0000219780219765028/$X83, -0.0000219780219765028)</f>
        <v>-6.5606035750754625E-6</v>
      </c>
      <c r="AL83" s="68">
        <f>IF($Z$3="yes", 0.0279761904761819/$X83, 0.0279761904761819)</f>
        <v>8.3511016346811649E-3</v>
      </c>
      <c r="AM83" s="68">
        <f>IF($Z$3="yes", 0.630224999999997/$X83, 0.630224999999997)</f>
        <v>0.18812686567164091</v>
      </c>
      <c r="AN83" s="68">
        <f>IF($Z$3="yes", 0.137675000000003/$X83, 0.137675000000003)</f>
        <v>4.1097014925374029E-2</v>
      </c>
      <c r="AO83" s="68">
        <f>IF($Z$3="yes", 0.0995249999999976/$X83, 0.0995249999999976)</f>
        <v>2.9708955223879879E-2</v>
      </c>
      <c r="AP83" s="68">
        <f>IF($Z$3="yes", 0.366275000000002/$X83, 0.366275000000002)</f>
        <v>0.10933582089552299</v>
      </c>
      <c r="AQ83" s="68">
        <f>IF($Z$3="yes", 0.32184642857143/$X83, 0.32184642857143)</f>
        <v>9.6073560767591035E-2</v>
      </c>
      <c r="AR83" s="68">
        <f>IF($Z$3="yes", 0.369525000000003/$X83, 0.369525000000003)</f>
        <v>0.11030597014925463</v>
      </c>
      <c r="AS83" s="68">
        <f>IF($Z$3="yes", 0.7679/$X83, 0.7679)</f>
        <v>0.22922388059701493</v>
      </c>
      <c r="AT83" s="68">
        <f>IF($Z$3="yes", 0.530699999999999/$X83, 0.530699999999999)</f>
        <v>0.15841791044776088</v>
      </c>
      <c r="AU83" s="88">
        <f>IF($Z$3="yes", 0.996499999999999/$X83, 0.996499999999999)</f>
        <v>0.2974626865671639</v>
      </c>
      <c r="AV83" s="88">
        <f>IF($Z$3="yes", 0.952071428571427/$X83, 0.952071428571427)</f>
        <v>0.28420042643923193</v>
      </c>
      <c r="AW83" s="88">
        <f>IF($Z$3="yes", 0.99975/$X83, 0.99975)</f>
        <v>0.29843283582089553</v>
      </c>
      <c r="AX83" s="88">
        <f>IF($Z$3="yes", 0.237200000000001/$X83, 0.237200000000001)</f>
        <v>7.0805970149254022E-2</v>
      </c>
      <c r="AY83" s="88">
        <f>IF($Z$3="yes", 0.4658/$X83, 0.4658)</f>
        <v>0.13904477611940297</v>
      </c>
      <c r="AZ83" s="88">
        <f>IF($Z$3="yes", 0.421371428571428/$X83, 0.421371428571428)</f>
        <v>0.12578251599147106</v>
      </c>
      <c r="BA83" s="88">
        <f>IF($Z$3="yes", 0.469050000000001/$X83, 0.469050000000001)</f>
        <v>0.14001492537313462</v>
      </c>
      <c r="BB83" s="88">
        <f>IF($Z$3="yes", 0.228599999999998/$X83, 0.228599999999998)</f>
        <v>6.8238805970148655E-2</v>
      </c>
      <c r="BC83" s="88">
        <f>IF($Z$3="yes", 0.184171428571426/$X83, 0.184171428571426)</f>
        <v>5.4976545842216715E-2</v>
      </c>
      <c r="BD83" s="88">
        <f>IF($Z$3="yes", 0.231849999999999/$X83, 0.231849999999999)</f>
        <v>6.9208955223880292E-2</v>
      </c>
      <c r="BE83" s="88">
        <f>IF($Z$3="yes", 0.0444285714285719/$X83, 0.0444285714285719)</f>
        <v>1.326226012793191E-2</v>
      </c>
      <c r="BF83" s="88">
        <f>IF($Z$3="yes", 0.00325000000000086/$X83, 0.00325000000000086)</f>
        <v>9.7014925373159998E-4</v>
      </c>
      <c r="BG83" s="88">
        <f>IF($Z$3="yes", 0.0476785714285727/$X83, 0.0476785714285727)</f>
        <v>1.4232409381663492E-2</v>
      </c>
      <c r="BH83" s="88">
        <f>IF($Z$3="yes", 0.679174829931973/$X83, 0.679174829931973)</f>
        <v>0.20273875520357401</v>
      </c>
      <c r="BI83" s="68"/>
      <c r="BJ83" s="68"/>
      <c r="BK83" s="68">
        <f>IF($BL$3="yes", MAX(0, (109890 - 133492.2) / 43732.4560590872), 133492.2)</f>
        <v>133492.20000000001</v>
      </c>
      <c r="BL83" s="68">
        <f>IF($BL$3="yes", MAX(0, (109890 - 208862.8) / 113966.202238031), 208862.8)</f>
        <v>208862.8</v>
      </c>
      <c r="BM83" s="68">
        <f>IF($BL$3="yes", MAX(0, (109890 - 416719.4) / 974692.271501185), 416719.4)</f>
        <v>416719.4</v>
      </c>
      <c r="BN83" s="68">
        <f>IF($BL$3="yes", MAX(0, (109890 - 347583.68) / 659258.34525386), 347583.68)</f>
        <v>347583.68</v>
      </c>
      <c r="BO83" s="68">
        <f>IF($BL$3="yes", MAX(0, (109890 - 442694.34) / 1018439.59394962), 442694.34)</f>
        <v>442694.34</v>
      </c>
      <c r="BP83" s="68">
        <f>IF($BL$3="yes", MAX(0, (109890 - 410256.78) / 798073.065491031), 410256.78)</f>
        <v>410256.78</v>
      </c>
      <c r="BQ83" s="68"/>
      <c r="BR83" s="68"/>
      <c r="BS83" s="68"/>
      <c r="BT83" s="68">
        <v>-1963448.6701189741</v>
      </c>
      <c r="BU83" s="68" t="e">
        <v>#N/A</v>
      </c>
      <c r="BV83" s="68">
        <f>IF($Z$3="yes", 0.251833546974526/$X83, 0.251833546974526)</f>
        <v>7.5174193126724173E-2</v>
      </c>
      <c r="BW83" s="68">
        <f>IF($Z$3="yes", 0.377854645884368/$X83, 0.377854645884368)</f>
        <v>0.11279243160727404</v>
      </c>
      <c r="BX83" s="68">
        <f>$BW$284 - $BV$284</f>
        <v>3.6299510491752826E-2</v>
      </c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81"/>
      <c r="CR83" s="81"/>
      <c r="CS83" s="68"/>
      <c r="CT83" s="68"/>
      <c r="CU83" s="68"/>
    </row>
    <row r="84" spans="1:99" ht="15.75" customHeight="1" thickBot="1" x14ac:dyDescent="0.3">
      <c r="A84" s="84"/>
      <c r="B84" s="67" t="s">
        <v>128</v>
      </c>
      <c r="C84" s="83" t="s">
        <v>346</v>
      </c>
      <c r="D84" s="67" t="s">
        <v>347</v>
      </c>
      <c r="E84" s="67">
        <v>1</v>
      </c>
      <c r="F84" s="85">
        <v>2.41</v>
      </c>
      <c r="G84" s="313">
        <v>44351</v>
      </c>
      <c r="H84" s="317">
        <v>1.98</v>
      </c>
      <c r="I84" s="317">
        <v>3.13</v>
      </c>
      <c r="J84" s="313">
        <v>44378</v>
      </c>
      <c r="K84" s="128">
        <f t="shared" si="4"/>
        <v>-0.17842323651452285</v>
      </c>
      <c r="L84" s="90">
        <f t="shared" si="5"/>
        <v>0.29875518672199153</v>
      </c>
      <c r="M84" s="312">
        <v>44407</v>
      </c>
      <c r="N84" s="68"/>
      <c r="O84" s="291">
        <v>39139502</v>
      </c>
      <c r="P84" s="291">
        <v>18740000</v>
      </c>
      <c r="Q84" s="291">
        <v>4</v>
      </c>
      <c r="R84" s="68" t="s">
        <v>131</v>
      </c>
      <c r="S84" s="68" t="s">
        <v>348</v>
      </c>
      <c r="T84" s="68" t="s">
        <v>232</v>
      </c>
      <c r="U84" s="68">
        <v>256</v>
      </c>
      <c r="V84" s="68">
        <v>481815</v>
      </c>
      <c r="W84" s="68"/>
      <c r="X84" s="68">
        <v>2.35</v>
      </c>
      <c r="Y84" s="68">
        <v>1.8844985000000001</v>
      </c>
      <c r="Z84" s="68">
        <v>2.4529999999999981</v>
      </c>
      <c r="AA84" s="68">
        <v>2.531599999999997</v>
      </c>
      <c r="AB84" s="68">
        <v>2.6761999999999979</v>
      </c>
      <c r="AC84" s="68">
        <v>2.3152499999999998</v>
      </c>
      <c r="AD84" s="68">
        <v>2.3478571428571411</v>
      </c>
      <c r="AE84" s="68">
        <v>2.3587500000000001</v>
      </c>
      <c r="AF84" s="68">
        <f>IF($Z$3="yes", 0.00883988232205804/$X84, 0.00883988232205804)</f>
        <v>3.7616520519395914E-3</v>
      </c>
      <c r="AG84" s="68">
        <f>IF($Z$3="yes", 0.00441788178817892/$X84, 0.00441788178817892)</f>
        <v>1.8799496970974127E-3</v>
      </c>
      <c r="AH84" s="68">
        <f>IF($Z$3="yes", -0.0127154861944768/$X84, -0.0127154861944768)</f>
        <v>-5.4108451891390639E-3</v>
      </c>
      <c r="AI84" s="68">
        <f>IF($Z$3="yes", -0.0170213685474181/$X84, -0.0170213685474181)</f>
        <v>-7.2431355520928076E-3</v>
      </c>
      <c r="AJ84" s="68">
        <f>IF($Z$3="yes", 0.00740225563909875/$X84, 0.00740225563909875)</f>
        <v>3.1498960166377659E-3</v>
      </c>
      <c r="AK84" s="68">
        <f>IF($Z$3="yes", 0.00353846153846238/$X84, 0.00353846153846238)</f>
        <v>1.5057283142393106E-3</v>
      </c>
      <c r="AL84" s="68">
        <f>IF($Z$3="yes", 0.00845238095237867/$X84, 0.00845238095237867)</f>
        <v>3.5967578520760294E-3</v>
      </c>
      <c r="AM84" s="68">
        <f>IF($Z$3="yes", 0.568501499999998/$X84, 0.568501499999998)</f>
        <v>0.24191553191489276</v>
      </c>
      <c r="AN84" s="68">
        <f>IF($Z$3="yes", 0.647101499999997/$X84, 0.647101499999997)</f>
        <v>0.27536234042553065</v>
      </c>
      <c r="AO84" s="68">
        <f>IF($Z$3="yes", 0.791701499999998/$X84, 0.791701499999998)</f>
        <v>0.33689425531914807</v>
      </c>
      <c r="AP84" s="68">
        <f>IF($Z$3="yes", 0.4307515/$X84, 0.4307515)</f>
        <v>0.18329851063829786</v>
      </c>
      <c r="AQ84" s="68">
        <f>IF($Z$3="yes", 0.463358642857141/$X84, 0.463358642857141)</f>
        <v>0.19717389057750681</v>
      </c>
      <c r="AR84" s="68">
        <f>IF($Z$3="yes", 0.4742515/$X84, 0.4742515)</f>
        <v>0.20180914893617019</v>
      </c>
      <c r="AS84" s="68">
        <f>IF($Z$3="yes", 0.0785999999999988/$X84, 0.0785999999999988)</f>
        <v>3.3446808510637784E-2</v>
      </c>
      <c r="AT84" s="68">
        <f>IF($Z$3="yes", 0.223199999999999/$X84, 0.223199999999999)</f>
        <v>9.4978723404254894E-2</v>
      </c>
      <c r="AU84" s="88">
        <f>IF($Z$3="yes", 0.137749999999998/$X84, 0.137749999999998)</f>
        <v>5.8617021276594898E-2</v>
      </c>
      <c r="AV84" s="88">
        <f>IF($Z$3="yes", 0.105142857142856/$X84, 0.105142857142856)</f>
        <v>4.4741641337385528E-2</v>
      </c>
      <c r="AW84" s="88">
        <f>IF($Z$3="yes", 0.0942499999999979/$X84, 0.0942499999999979)</f>
        <v>4.0106382978722509E-2</v>
      </c>
      <c r="AX84" s="88">
        <f>IF($Z$3="yes", 0.1446/$X84, 0.1446)</f>
        <v>6.1531914893617021E-2</v>
      </c>
      <c r="AY84" s="88">
        <f>IF($Z$3="yes", 0.360949999999998/$X84, 0.360949999999998)</f>
        <v>0.15359574468085022</v>
      </c>
      <c r="AZ84" s="88">
        <f>IF($Z$3="yes", 0.328342857142856/$X84, 0.328342857142856)</f>
        <v>0.13972036474164085</v>
      </c>
      <c r="BA84" s="88">
        <f>IF($Z$3="yes", 0.317449999999997/$X84, 0.317449999999997)</f>
        <v>0.13508510638297744</v>
      </c>
      <c r="BB84" s="88">
        <f>IF($Z$3="yes", 0.216349999999997/$X84, 0.216349999999997)</f>
        <v>9.2063829787232751E-2</v>
      </c>
      <c r="BC84" s="88">
        <f>IF($Z$3="yes", 0.183742857142855/$X84, 0.183742857142855)</f>
        <v>7.8188449848023395E-2</v>
      </c>
      <c r="BD84" s="88">
        <f>IF($Z$3="yes", 0.172849999999996/$X84, 0.172849999999996)</f>
        <v>7.3553191489360001E-2</v>
      </c>
      <c r="BE84" s="88">
        <f>IF($Z$3="yes", 0.0326071428571412/$X84, 0.0326071428571412)</f>
        <v>1.387537993920902E-2</v>
      </c>
      <c r="BF84" s="88">
        <f>IF($Z$3="yes", 0.0435000000000003/$X84, 0.0435000000000003)</f>
        <v>1.8510638297872469E-2</v>
      </c>
      <c r="BG84" s="88">
        <f>IF($Z$3="yes", 0.010892857142859/$X84, 0.010892857142859)</f>
        <v>4.6352583586634043E-3</v>
      </c>
      <c r="BH84" s="88">
        <f>IF($Z$3="yes", 0.443661850340135/$X84, 0.443661850340135)</f>
        <v>0.18879227674048296</v>
      </c>
      <c r="BI84" s="68"/>
      <c r="BJ84" s="68"/>
      <c r="BK84" s="68">
        <f>IF($BL$3="yes", MAX(0, (481815 - 498644) / 130103.766226808), 498644)</f>
        <v>498644</v>
      </c>
      <c r="BL84" s="68">
        <f>IF($BL$3="yes", MAX(0, (481815 - 461812.8) / 123917.562700208), 461812.8)</f>
        <v>461812.8</v>
      </c>
      <c r="BM84" s="68">
        <f>IF($BL$3="yes", MAX(0, (481815 - 476978.95) / 129936.21789073), 476978.95)</f>
        <v>476978.95</v>
      </c>
      <c r="BN84" s="68">
        <f>IF($BL$3="yes", MAX(0, (481815 - 1207444.36) / 1088370.90357026), 1207444.36)</f>
        <v>1207444.3600000001</v>
      </c>
      <c r="BO84" s="68">
        <f>IF($BL$3="yes", MAX(0, (481815 - 4323958.41) / 10274733.876202), 4323958.41)</f>
        <v>4323958.41</v>
      </c>
      <c r="BP84" s="68">
        <f>IF($BL$3="yes", MAX(0, (481815 - 3697809.11) / 12421468.3260428), 3697809.11)</f>
        <v>3697809.11</v>
      </c>
      <c r="BQ84" s="68"/>
      <c r="BR84" s="68"/>
      <c r="BS84" s="68"/>
      <c r="BT84" s="68">
        <v>-1103676.531201652</v>
      </c>
      <c r="BU84" s="68" t="e">
        <v>#N/A</v>
      </c>
      <c r="BV84" s="68">
        <f>IF($Z$3="yes", 0.17793744105453/$X84, 0.17793744105453)</f>
        <v>7.5718060023204248E-2</v>
      </c>
      <c r="BW84" s="68">
        <f>IF($Z$3="yes", 0.301544346128727/$X84, 0.301544346128727)</f>
        <v>0.12831674303350085</v>
      </c>
      <c r="BX84" s="68">
        <f>$BW$278 - $BV$278</f>
        <v>1.0914907899109899E-2</v>
      </c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81"/>
      <c r="CR84" s="81"/>
      <c r="CS84" s="68"/>
      <c r="CT84" s="68"/>
      <c r="CU84" s="68"/>
    </row>
    <row r="85" spans="1:99" ht="15.75" customHeight="1" thickBot="1" x14ac:dyDescent="0.3">
      <c r="A85" s="84"/>
      <c r="B85" s="67" t="s">
        <v>128</v>
      </c>
      <c r="C85" s="83" t="s">
        <v>349</v>
      </c>
      <c r="D85" s="67" t="s">
        <v>350</v>
      </c>
      <c r="E85" s="67">
        <v>1</v>
      </c>
      <c r="F85" s="85">
        <v>2.76</v>
      </c>
      <c r="G85" s="313">
        <v>44351</v>
      </c>
      <c r="H85" s="317">
        <v>2.65</v>
      </c>
      <c r="I85" s="85">
        <v>3.25</v>
      </c>
      <c r="J85" s="313">
        <v>44371</v>
      </c>
      <c r="K85" s="129">
        <f t="shared" si="4"/>
        <v>-3.9855072463768071E-2</v>
      </c>
      <c r="L85" s="121">
        <f t="shared" si="5"/>
        <v>0.17753623188405809</v>
      </c>
      <c r="M85" s="312">
        <v>44407</v>
      </c>
      <c r="N85" s="68"/>
      <c r="O85" s="291">
        <v>29852950</v>
      </c>
      <c r="P85" s="291">
        <v>25910000</v>
      </c>
      <c r="Q85" s="291">
        <v>20</v>
      </c>
      <c r="R85" s="68" t="s">
        <v>131</v>
      </c>
      <c r="S85" s="68" t="s">
        <v>192</v>
      </c>
      <c r="T85" s="68" t="s">
        <v>351</v>
      </c>
      <c r="U85" s="68">
        <v>36</v>
      </c>
      <c r="V85" s="68">
        <v>68767</v>
      </c>
      <c r="W85" s="68"/>
      <c r="X85" s="68">
        <v>2.74</v>
      </c>
      <c r="Y85" s="68">
        <v>1.773158500000001</v>
      </c>
      <c r="Z85" s="68">
        <v>2.5601000000000012</v>
      </c>
      <c r="AA85" s="68">
        <v>2.9005000000000001</v>
      </c>
      <c r="AB85" s="68">
        <v>2.9393000000000011</v>
      </c>
      <c r="AC85" s="68">
        <v>2.6792500000000001</v>
      </c>
      <c r="AD85" s="68">
        <v>2.6828571428571428</v>
      </c>
      <c r="AE85" s="68">
        <v>2.6625000000000001</v>
      </c>
      <c r="AF85" s="68">
        <f>IF($Z$3="yes", 0.0144013976599414/$X85, 0.0144013976599414)</f>
        <v>5.2559845474238684E-3</v>
      </c>
      <c r="AG85" s="68">
        <f>IF($Z$3="yes", 0.0134275427542754/$X85, 0.0134275427542754)</f>
        <v>4.90056304900562E-3</v>
      </c>
      <c r="AH85" s="68">
        <f>IF($Z$3="yes", -0.00744849939975973/$X85, -0.00744849939975973)</f>
        <v>-2.7184304378685144E-3</v>
      </c>
      <c r="AI85" s="68">
        <f>IF($Z$3="yes", -0.000224489795918255/$X85, -0.000224489795918255)</f>
        <v>-8.193058245191787E-5</v>
      </c>
      <c r="AJ85" s="68">
        <f>IF($Z$3="yes", -0.000289473684209322/$X85, -0.000289473684209322)</f>
        <v>-1.0564733000340218E-4</v>
      </c>
      <c r="AK85" s="68">
        <f>IF($Z$3="yes", -0.00101098901098894/$X85, -0.00101098901098894)</f>
        <v>-3.6897409160180285E-4</v>
      </c>
      <c r="AL85" s="68">
        <f>IF($Z$3="yes", 0.0292857142857157/$X85, 0.0292857142857157)</f>
        <v>1.0688216892596969E-2</v>
      </c>
      <c r="AM85" s="68">
        <f>IF($Z$3="yes", 0.786941499999999/$X85, 0.786941499999999)</f>
        <v>0.28720492700729888</v>
      </c>
      <c r="AN85" s="68">
        <f>IF($Z$3="yes", 1.12734149999999/$X85, 1.12734149999999)</f>
        <v>0.41143850364963136</v>
      </c>
      <c r="AO85" s="68">
        <f>IF($Z$3="yes", 1.16614149999999/$X85, 1.16614149999999)</f>
        <v>0.42559908759123716</v>
      </c>
      <c r="AP85" s="68">
        <f>IF($Z$3="yes", 0.906091499999998/$X85, 0.906091499999998)</f>
        <v>0.33069032846715257</v>
      </c>
      <c r="AQ85" s="68">
        <f>IF($Z$3="yes", 0.909698642857142/$X85, 0.909698642857142)</f>
        <v>0.33200680396246057</v>
      </c>
      <c r="AR85" s="68">
        <f>IF($Z$3="yes", 0.889341499999998/$X85, 0.889341499999998)</f>
        <v>0.32457718978102112</v>
      </c>
      <c r="AS85" s="68">
        <f>IF($Z$3="yes", 0.340399999999999/$X85, 0.340399999999999)</f>
        <v>0.12423357664233539</v>
      </c>
      <c r="AT85" s="68">
        <f>IF($Z$3="yes", 0.3792/$X85, 0.3792)</f>
        <v>0.13839416058394158</v>
      </c>
      <c r="AU85" s="88">
        <f>IF($Z$3="yes", 0.119149999999998/$X85, 0.119149999999998)</f>
        <v>4.348540145985328E-2</v>
      </c>
      <c r="AV85" s="88">
        <f>IF($Z$3="yes", 0.122757142857142/$X85, 0.122757142857142)</f>
        <v>4.4801876955161309E-2</v>
      </c>
      <c r="AW85" s="88">
        <f>IF($Z$3="yes", 0.102399999999998/$X85, 0.102399999999998)</f>
        <v>3.7372262773721895E-2</v>
      </c>
      <c r="AX85" s="88">
        <f>IF($Z$3="yes", 0.0388000000000006/$X85, 0.0388000000000006)</f>
        <v>1.4160583941606056E-2</v>
      </c>
      <c r="AY85" s="88">
        <f>IF($Z$3="yes", 0.260050000000001/$X85, 0.260050000000001)</f>
        <v>9.4908759124087944E-2</v>
      </c>
      <c r="AZ85" s="88">
        <f>IF($Z$3="yes", 0.256442857142857/$X85, 0.256442857142857)</f>
        <v>9.3592283628779915E-2</v>
      </c>
      <c r="BA85" s="88">
        <f>IF($Z$3="yes", 0.276800000000001/$X85, 0.276800000000001)</f>
        <v>0.10102189781021934</v>
      </c>
      <c r="BB85" s="88">
        <f>IF($Z$3="yes", 0.22125/$X85, 0.22125)</f>
        <v>8.0748175182481743E-2</v>
      </c>
      <c r="BC85" s="88">
        <f>IF($Z$3="yes", 0.217642857142856/$X85, 0.217642857142856)</f>
        <v>7.9431699687173715E-2</v>
      </c>
      <c r="BD85" s="88">
        <f>IF($Z$3="yes", 0.238/$X85, 0.238)</f>
        <v>8.6861313868613121E-2</v>
      </c>
      <c r="BE85" s="88">
        <f>IF($Z$3="yes", 0.00360714285714358/$X85, 0.00360714285714358)</f>
        <v>1.3164754953078758E-3</v>
      </c>
      <c r="BF85" s="88">
        <f>IF($Z$3="yes", 0.01675/$X85, 0.01675)</f>
        <v>6.1131386861313867E-3</v>
      </c>
      <c r="BG85" s="88">
        <f>IF($Z$3="yes", 0.0203571428571436/$X85, 0.0203571428571436)</f>
        <v>7.42961418143927E-3</v>
      </c>
      <c r="BH85" s="88">
        <f>IF($Z$3="yes", 0.563344639455782/$X85, 0.563344639455782)</f>
        <v>0.20560023337802261</v>
      </c>
      <c r="BI85" s="68"/>
      <c r="BJ85" s="68"/>
      <c r="BK85" s="68">
        <f>IF($BL$3="yes", MAX(0, (68767 - 148569.2) / 46569.1510268332), 148569.2)</f>
        <v>148569.20000000001</v>
      </c>
      <c r="BL85" s="68">
        <f>IF($BL$3="yes", MAX(0, (68767 - 214101.4) / 104080.292784176), 214101.4)</f>
        <v>214101.4</v>
      </c>
      <c r="BM85" s="68">
        <f>IF($BL$3="yes", MAX(0, (68767 - 343882.65) / 367068.717586676), 343882.65)</f>
        <v>343882.65</v>
      </c>
      <c r="BN85" s="68">
        <f>IF($BL$3="yes", MAX(0, (68767 - 360772.5) / 290282.609013922), 360772.5)</f>
        <v>360772.5</v>
      </c>
      <c r="BO85" s="68">
        <f>IF($BL$3="yes", MAX(0, (68767 - 677257.35) / 874112.743645799), 677257.35)</f>
        <v>677257.35</v>
      </c>
      <c r="BP85" s="68">
        <f>IF($BL$3="yes", MAX(0, (68767 - 454016.5) / 673996.129077437), 454016.5)</f>
        <v>454016.5</v>
      </c>
      <c r="BQ85" s="68"/>
      <c r="BR85" s="68"/>
      <c r="BS85" s="68"/>
      <c r="BT85" s="68">
        <v>-277272.80039425747</v>
      </c>
      <c r="BU85" s="68" t="e">
        <v>#N/A</v>
      </c>
      <c r="BV85" s="68">
        <f>IF($Z$3="yes", 0.174759104373677/$X85, 0.174759104373677)</f>
        <v>6.378069502688942E-2</v>
      </c>
      <c r="BW85" s="68">
        <f>IF($Z$3="yes", 0.227976960269256/$X85, 0.227976960269256)</f>
        <v>8.3203270171261307E-2</v>
      </c>
      <c r="BX85" s="68">
        <f>$BW$280 - $BV$280</f>
        <v>-3.234234989997864E-2</v>
      </c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81"/>
      <c r="CR85" s="81"/>
      <c r="CS85" s="68"/>
      <c r="CT85" s="68"/>
      <c r="CU85" s="68"/>
    </row>
    <row r="86" spans="1:99" ht="15.75" customHeight="1" thickBot="1" x14ac:dyDescent="0.3">
      <c r="A86" s="84"/>
      <c r="B86" s="67" t="s">
        <v>128</v>
      </c>
      <c r="C86" s="83" t="s">
        <v>352</v>
      </c>
      <c r="D86" s="67" t="s">
        <v>353</v>
      </c>
      <c r="E86" s="67">
        <v>1</v>
      </c>
      <c r="F86" s="85">
        <v>48.7</v>
      </c>
      <c r="G86" s="313">
        <v>44351</v>
      </c>
      <c r="H86" s="317">
        <v>37.020000000000003</v>
      </c>
      <c r="I86" s="85">
        <v>64.954999999999998</v>
      </c>
      <c r="J86" s="313">
        <v>44365</v>
      </c>
      <c r="K86" s="130">
        <f t="shared" si="4"/>
        <v>-0.23983572895277205</v>
      </c>
      <c r="L86" s="131">
        <f t="shared" si="5"/>
        <v>0.33377823408624208</v>
      </c>
      <c r="M86" s="312">
        <v>44407</v>
      </c>
      <c r="N86" s="68"/>
      <c r="O86" s="291">
        <v>501780240</v>
      </c>
      <c r="P86" s="291">
        <v>448560000</v>
      </c>
      <c r="Q86" s="291">
        <v>14</v>
      </c>
      <c r="R86" s="68" t="s">
        <v>131</v>
      </c>
      <c r="S86" s="68" t="s">
        <v>135</v>
      </c>
      <c r="T86" s="68" t="s">
        <v>232</v>
      </c>
      <c r="U86" s="68">
        <v>2004</v>
      </c>
      <c r="V86" s="68">
        <v>337710091</v>
      </c>
      <c r="W86" s="68"/>
      <c r="X86" s="68">
        <v>47.91</v>
      </c>
      <c r="Y86" s="68">
        <v>7.5901999999999967</v>
      </c>
      <c r="Z86" s="68">
        <v>11.262700000000001</v>
      </c>
      <c r="AA86" s="68">
        <v>14.48580000000001</v>
      </c>
      <c r="AB86" s="68">
        <v>10.76480000000001</v>
      </c>
      <c r="AC86" s="68">
        <v>21.337500000000009</v>
      </c>
      <c r="AD86" s="68">
        <v>25.812857142857141</v>
      </c>
      <c r="AE86" s="68">
        <v>35.306250000000013</v>
      </c>
      <c r="AF86" s="68">
        <f>IF($Z$3="yes", 0.0721703892597316/$X86, 0.0721703892597316)</f>
        <v>1.5063742279217618E-3</v>
      </c>
      <c r="AG86" s="68">
        <f>IF($Z$3="yes", 0.174828742874287/$X86, 0.174828742874287)</f>
        <v>3.6491075532099149E-3</v>
      </c>
      <c r="AH86" s="68">
        <f>IF($Z$3="yes", 0.462593517406961/$X86, 0.462593517406961)</f>
        <v>9.6554689502600915E-3</v>
      </c>
      <c r="AI86" s="68">
        <f>IF($Z$3="yes", -0.00638367346938864/$X86, -0.00638367346938864)</f>
        <v>-1.3324302795634816E-4</v>
      </c>
      <c r="AJ86" s="68">
        <f>IF($Z$3="yes", 2.12721052631578/$X86, 2.12721052631578)</f>
        <v>4.4400136220325195E-2</v>
      </c>
      <c r="AK86" s="68">
        <f>IF($Z$3="yes", 3.40523076923076/$X86, 3.40523076923076)</f>
        <v>7.1075574394296806E-2</v>
      </c>
      <c r="AL86" s="68">
        <f>IF($Z$3="yes", 5.87392857142853/$X86, 5.87392857142853)</f>
        <v>0.12260339326713693</v>
      </c>
      <c r="AM86" s="68">
        <f>IF($Z$3="yes", 3.6725/$X86, 3.6725)</f>
        <v>7.6654143185138801E-2</v>
      </c>
      <c r="AN86" s="68">
        <f>IF($Z$3="yes", 6.89560000000001/$X86, 6.89560000000001)</f>
        <v>0.14392819870590712</v>
      </c>
      <c r="AO86" s="68">
        <f>IF($Z$3="yes", 3.1746/$X86, 3.1746)</f>
        <v>6.6261740763932375E-2</v>
      </c>
      <c r="AP86" s="68">
        <f>IF($Z$3="yes", 13.7473/$X86, 13.7473)</f>
        <v>0.2869400960133584</v>
      </c>
      <c r="AQ86" s="68">
        <f>IF($Z$3="yes", 18.2226571428571/$X86, 18.2226571428571)</f>
        <v>0.38035185019530576</v>
      </c>
      <c r="AR86" s="68">
        <f>IF($Z$3="yes", 27.71605/$X86, 27.71605)</f>
        <v>0.5785024003339595</v>
      </c>
      <c r="AS86" s="68">
        <f>IF($Z$3="yes", 3.2231/$X86, 3.2231)</f>
        <v>6.7274055520768108E-2</v>
      </c>
      <c r="AT86" s="68">
        <f>IF($Z$3="yes", 0.497899999999994/$X86, 0.497899999999994)</f>
        <v>1.0392402421206304E-2</v>
      </c>
      <c r="AU86" s="88">
        <f>IF($Z$3="yes", 10.0748/$X86, 10.0748)</f>
        <v>0.21028595282821957</v>
      </c>
      <c r="AV86" s="88">
        <f>IF($Z$3="yes", 14.5501571428571/$X86, 14.5501571428571)</f>
        <v>0.30369770701016702</v>
      </c>
      <c r="AW86" s="88">
        <f>IF($Z$3="yes", 24.04355/$X86, 24.04355)</f>
        <v>0.50184825714882075</v>
      </c>
      <c r="AX86" s="88">
        <f>IF($Z$3="yes", 3.721/$X86, 3.721)</f>
        <v>7.7666457941974548E-2</v>
      </c>
      <c r="AY86" s="88">
        <f>IF($Z$3="yes", 10.5727/$X86, 10.5727)</f>
        <v>0.220678355249426</v>
      </c>
      <c r="AZ86" s="88">
        <f>IF($Z$3="yes", 15.0480571428571/$X86, 15.0480571428571)</f>
        <v>0.31409010943137344</v>
      </c>
      <c r="BA86" s="88">
        <f>IF($Z$3="yes", 24.5414499999999/$X86, 24.5414499999999)</f>
        <v>0.51224065957002507</v>
      </c>
      <c r="BB86" s="88">
        <f>IF($Z$3="yes", 6.85169999999999/$X86, 6.85169999999999)</f>
        <v>0.14301189730745129</v>
      </c>
      <c r="BC86" s="88">
        <f>IF($Z$3="yes", 11.3270571428571/$X86, 11.3270571428571)</f>
        <v>0.23642365148939889</v>
      </c>
      <c r="BD86" s="88">
        <f>IF($Z$3="yes", 20.8204499999999/$X86, 20.8204499999999)</f>
        <v>0.43457420162805055</v>
      </c>
      <c r="BE86" s="88">
        <f>IF($Z$3="yes", 4.47535714285713/$X86, 4.47535714285713)</f>
        <v>9.341175418194804E-2</v>
      </c>
      <c r="BF86" s="88">
        <f>IF($Z$3="yes", 13.96875/$X86, 13.96875)</f>
        <v>0.29156230432060115</v>
      </c>
      <c r="BG86" s="88">
        <f>IF($Z$3="yes", 9.49339285714286/$X86, 9.49339285714286)</f>
        <v>0.1981505501386529</v>
      </c>
      <c r="BH86" s="88">
        <f>IF($Z$3="yes", 14.1518636054421/$X86, 14.1518636054421)</f>
        <v>0.2953843374126926</v>
      </c>
      <c r="BI86" s="68"/>
      <c r="BJ86" s="68"/>
      <c r="BK86" s="68">
        <f>IF($BL$3="yes", MAX(0, (337710091 - 574326610.8) / 145069282.126498), 574326610.8)</f>
        <v>574326610.79999995</v>
      </c>
      <c r="BL86" s="68">
        <f>IF($BL$3="yes", MAX(0, (337710091 - 433714382.7) / 240057849.203806), 433714382.7)</f>
        <v>433714382.69999999</v>
      </c>
      <c r="BM86" s="68">
        <f>IF($BL$3="yes", MAX(0, (337710091 - 275320437.25) / 239544347.51808), 275320437.25)</f>
        <v>275320437.25</v>
      </c>
      <c r="BN86" s="68">
        <f>IF($BL$3="yes", MAX(0, (337710091 - 137763823.1) / 189527130.814159), 137763823.1)</f>
        <v>137763823.09999999</v>
      </c>
      <c r="BO86" s="68">
        <f>IF($BL$3="yes", MAX(0, (337710091 - 170938824.14) / 202461557.89892), 170938824.14)</f>
        <v>170938824.13999999</v>
      </c>
      <c r="BP86" s="68">
        <f>IF($BL$3="yes", MAX(0, (337710091 - 94976060.02) / 162626220.054759), 94976060.02)</f>
        <v>94976060.019999996</v>
      </c>
      <c r="BQ86" s="68"/>
      <c r="BR86" s="68"/>
      <c r="BS86" s="68"/>
      <c r="BT86" s="68">
        <v>292075301.51710492</v>
      </c>
      <c r="BU86" s="68" t="e">
        <v>#N/A</v>
      </c>
      <c r="BV86" s="68">
        <f>IF($Z$3="yes", 7.98211605360574/$X86, 7.98211605360574)</f>
        <v>0.16660647158434022</v>
      </c>
      <c r="BW86" s="68">
        <f>IF($Z$3="yes", 1.6247733397388/$X86, 1.6247733397388)</f>
        <v>3.3913031511976624E-2</v>
      </c>
      <c r="BX86" s="68">
        <f>$BW$281 - $BV$281</f>
        <v>1.2234139209322759E-2</v>
      </c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81"/>
      <c r="CR86" s="81"/>
      <c r="CS86" s="68"/>
      <c r="CT86" s="68"/>
      <c r="CU86" s="68"/>
    </row>
    <row r="87" spans="1:99" ht="15.75" customHeight="1" thickBot="1" x14ac:dyDescent="0.3">
      <c r="A87" s="84"/>
      <c r="B87" s="67" t="s">
        <v>128</v>
      </c>
      <c r="C87" s="83" t="s">
        <v>354</v>
      </c>
      <c r="D87" s="67" t="s">
        <v>355</v>
      </c>
      <c r="E87" s="67">
        <v>1</v>
      </c>
      <c r="F87" s="85">
        <v>14.12</v>
      </c>
      <c r="G87" s="313">
        <v>44344</v>
      </c>
      <c r="H87" s="317">
        <v>11.49</v>
      </c>
      <c r="I87" s="317">
        <v>23.34</v>
      </c>
      <c r="J87" s="313">
        <v>44375</v>
      </c>
      <c r="K87" s="135">
        <f t="shared" si="4"/>
        <v>-0.18626062322946169</v>
      </c>
      <c r="L87" s="136">
        <f t="shared" si="5"/>
        <v>0.65297450424929182</v>
      </c>
      <c r="M87" s="312">
        <v>44407</v>
      </c>
      <c r="N87" s="68"/>
      <c r="O87" s="291">
        <v>42684678</v>
      </c>
      <c r="P87" s="291">
        <v>20180000</v>
      </c>
      <c r="Q87" s="291">
        <v>31</v>
      </c>
      <c r="R87" s="68" t="s">
        <v>131</v>
      </c>
      <c r="S87" s="68" t="s">
        <v>135</v>
      </c>
      <c r="T87" s="68" t="s">
        <v>154</v>
      </c>
      <c r="U87" s="68">
        <v>2004</v>
      </c>
      <c r="V87" s="68">
        <v>2655399</v>
      </c>
      <c r="W87" s="68"/>
      <c r="X87" s="68">
        <v>14.4</v>
      </c>
      <c r="Y87" s="68">
        <v>8.3451480000000018</v>
      </c>
      <c r="Z87" s="68">
        <v>12.7134</v>
      </c>
      <c r="AA87" s="68">
        <v>17.78</v>
      </c>
      <c r="AB87" s="68">
        <v>16.0152</v>
      </c>
      <c r="AC87" s="68">
        <v>27.503999999999991</v>
      </c>
      <c r="AD87" s="68">
        <v>18.808571428571419</v>
      </c>
      <c r="AE87" s="68">
        <v>15.33625</v>
      </c>
      <c r="AF87" s="68">
        <f>IF($Z$3="yes", 0.0940253593339834/$X87, 0.0940253593339834)</f>
        <v>6.5295388426377362E-3</v>
      </c>
      <c r="AG87" s="68">
        <f>IF($Z$3="yes", 0.222828562856285/$X87, 0.222828562856285)</f>
        <v>1.547420575390868E-2</v>
      </c>
      <c r="AH87" s="68">
        <f>IF($Z$3="yes", 0.511458343337334/$X87, 0.511458343337334)</f>
        <v>3.5517940509537084E-2</v>
      </c>
      <c r="AI87" s="68">
        <f>IF($Z$3="yes", 0.771007923169267/$X87, 0.771007923169267)</f>
        <v>5.3542216886754652E-2</v>
      </c>
      <c r="AJ87" s="68">
        <f>IF($Z$3="yes", -2.43120300751878/$X87, -2.43120300751878)</f>
        <v>-0.16883354218880414</v>
      </c>
      <c r="AK87" s="68">
        <f>IF($Z$3="yes", -1.12901098901098/$X87, -1.12901098901098)</f>
        <v>-7.8403540903540278E-2</v>
      </c>
      <c r="AL87" s="68">
        <f>IF($Z$3="yes", -0.456547619047609/$X87, -0.456547619047609)</f>
        <v>-3.1704695767195069E-2</v>
      </c>
      <c r="AM87" s="68">
        <f>IF($Z$3="yes", 4.368252/$X87, 4.368252)</f>
        <v>0.30335083333333335</v>
      </c>
      <c r="AN87" s="68">
        <f>IF($Z$3="yes", 9.434852/$X87, 9.434852)</f>
        <v>0.65519805555555555</v>
      </c>
      <c r="AO87" s="68">
        <f>IF($Z$3="yes", 7.670052/$X87, 7.670052)</f>
        <v>0.53264250000000002</v>
      </c>
      <c r="AP87" s="68">
        <f>IF($Z$3="yes", 19.1588519999999/$X87, 19.1588519999999)</f>
        <v>1.3304758333333264</v>
      </c>
      <c r="AQ87" s="68">
        <f>IF($Z$3="yes", 10.4634234285714/$X87, 10.4634234285714)</f>
        <v>0.72662662698412495</v>
      </c>
      <c r="AR87" s="68">
        <f>IF($Z$3="yes", 6.99110199999999/$X87, 6.99110199999999)</f>
        <v>0.48549319444444372</v>
      </c>
      <c r="AS87" s="68">
        <f>IF($Z$3="yes", 5.06659999999999/$X87, 5.06659999999999)</f>
        <v>0.35184722222222148</v>
      </c>
      <c r="AT87" s="68">
        <f>IF($Z$3="yes", 3.3018/$X87, 3.3018)</f>
        <v>0.22929166666666667</v>
      </c>
      <c r="AU87" s="88">
        <f>IF($Z$3="yes", 14.7905999999999/$X87, 14.7905999999999)</f>
        <v>1.027124999999993</v>
      </c>
      <c r="AV87" s="88">
        <f>IF($Z$3="yes", 6.09517142857141/$X87, 6.09517142857141)</f>
        <v>0.42327579365079238</v>
      </c>
      <c r="AW87" s="88">
        <f>IF($Z$3="yes", 2.62284999999999/$X87, 2.62284999999999)</f>
        <v>0.1821423611111104</v>
      </c>
      <c r="AX87" s="88">
        <f>IF($Z$3="yes", 1.76479999999999/$X87, 1.76479999999999)</f>
        <v>0.12255555555555485</v>
      </c>
      <c r="AY87" s="88">
        <f>IF($Z$3="yes", 11.4887999999999/$X87, 11.4887999999999)</f>
        <v>0.7978333333333264</v>
      </c>
      <c r="AZ87" s="88">
        <f>IF($Z$3="yes", 2.79337142857141/$X87, 2.79337142857141)</f>
        <v>0.19398412698412568</v>
      </c>
      <c r="BA87" s="88">
        <f>IF($Z$3="yes", 0.678950000000005/$X87, 0.678950000000005)</f>
        <v>4.7149305555555902E-2</v>
      </c>
      <c r="BB87" s="88">
        <f>IF($Z$3="yes", 9.72399999999999/$X87, 9.72399999999999)</f>
        <v>0.67527777777777709</v>
      </c>
      <c r="BC87" s="88">
        <f>IF($Z$3="yes", 1.02857142857141/$X87, 1.02857142857141)</f>
        <v>7.1428571428570134E-2</v>
      </c>
      <c r="BD87" s="88">
        <f>IF($Z$3="yes", 2.44375/$X87, 2.44375)</f>
        <v>0.1697048611111111</v>
      </c>
      <c r="BE87" s="88">
        <f>IF($Z$3="yes", 8.69542857142857/$X87, 8.69542857142857)</f>
        <v>0.60384920634920625</v>
      </c>
      <c r="BF87" s="88">
        <f>IF($Z$3="yes", 12.1677499999999/$X87, 12.1677499999999)</f>
        <v>0.84498263888888192</v>
      </c>
      <c r="BG87" s="88">
        <f>IF($Z$3="yes", 3.47232142857142/$X87, 3.47232142857142)</f>
        <v>0.24113343253968195</v>
      </c>
      <c r="BH87" s="88">
        <f>IF($Z$3="yes", 7.83633405442176/$X87, 7.83633405442176)</f>
        <v>0.5441898648904</v>
      </c>
      <c r="BI87" s="68"/>
      <c r="BJ87" s="68"/>
      <c r="BK87" s="68">
        <f>IF($BL$3="yes", MAX(0, (2655399 - 11412274) / 8843107.19461733), 11412274)</f>
        <v>11412274</v>
      </c>
      <c r="BL87" s="68">
        <f>IF($BL$3="yes", MAX(0, (2655399 - 9720031.3) / 7152656.30961882), 9720031.3)</f>
        <v>9720031.3000000007</v>
      </c>
      <c r="BM87" s="68">
        <f>IF($BL$3="yes", MAX(0, (2655399 - 8683244.9) / 7801542.46740962), 8683244.9)</f>
        <v>8683244.9000000004</v>
      </c>
      <c r="BN87" s="68">
        <f>IF($BL$3="yes", MAX(0, (2655399 - 8575485.93) / 12773688.3498962), 8575485.93)</f>
        <v>8575485.9299999997</v>
      </c>
      <c r="BO87" s="68">
        <f>IF($BL$3="yes", MAX(0, (2655399 - 4743028.64) / 9866383.8612771), 4743028.64)</f>
        <v>4743028.6399999997</v>
      </c>
      <c r="BP87" s="68">
        <f>IF($BL$3="yes", MAX(0, (2655399 - 2574312.5925) / 7374002.32922744), 2574312.5925)</f>
        <v>2574312.5924999998</v>
      </c>
      <c r="BQ87" s="68">
        <v>43.205553196219491</v>
      </c>
      <c r="BR87" s="68"/>
      <c r="BS87" s="68"/>
      <c r="BT87" s="68">
        <v>-495946.60637945862</v>
      </c>
      <c r="BU87" s="68">
        <v>-3192412.2049082038</v>
      </c>
      <c r="BV87" s="68">
        <f>IF($Z$3="yes", 5.94542772297745/$X87, 5.94542772297745)</f>
        <v>0.41287692520676733</v>
      </c>
      <c r="BW87" s="68">
        <f>IF($Z$3="yes", 4.6041512636004/$X87, 4.6041512636004)</f>
        <v>0.31973272663891666</v>
      </c>
      <c r="BX87" s="68">
        <f>$BW$275 - $BV$275</f>
        <v>-4.4843914649969827E-2</v>
      </c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81"/>
      <c r="CR87" s="81"/>
      <c r="CS87" s="68"/>
      <c r="CT87" s="68"/>
      <c r="CU87" s="68"/>
    </row>
    <row r="88" spans="1:99" ht="15.75" customHeight="1" thickBot="1" x14ac:dyDescent="0.3">
      <c r="A88" s="84"/>
      <c r="B88" s="67" t="s">
        <v>128</v>
      </c>
      <c r="C88" s="83" t="s">
        <v>356</v>
      </c>
      <c r="D88" s="67" t="s">
        <v>357</v>
      </c>
      <c r="E88" s="67">
        <v>2</v>
      </c>
      <c r="F88" s="85">
        <v>5.0999999999999996</v>
      </c>
      <c r="G88" s="313">
        <v>44342</v>
      </c>
      <c r="H88" s="317">
        <v>3.76</v>
      </c>
      <c r="I88" s="317">
        <v>6.82</v>
      </c>
      <c r="J88" s="313">
        <v>44398</v>
      </c>
      <c r="K88" s="94">
        <f t="shared" si="4"/>
        <v>-0.26274509803921564</v>
      </c>
      <c r="L88" s="95">
        <f t="shared" si="5"/>
        <v>0.33725490196078445</v>
      </c>
      <c r="M88" s="312">
        <v>44407</v>
      </c>
      <c r="N88" s="68"/>
      <c r="O88" s="291">
        <v>7906476</v>
      </c>
      <c r="P88" s="291">
        <v>5600000</v>
      </c>
      <c r="Q88" s="291">
        <v>56</v>
      </c>
      <c r="R88" s="68" t="s">
        <v>147</v>
      </c>
      <c r="S88" s="68" t="s">
        <v>148</v>
      </c>
      <c r="T88" s="68" t="s">
        <v>242</v>
      </c>
      <c r="U88" s="68">
        <v>132</v>
      </c>
      <c r="V88" s="68">
        <v>13742</v>
      </c>
      <c r="W88" s="68"/>
      <c r="X88" s="68">
        <v>5.19</v>
      </c>
      <c r="Y88" s="68">
        <v>7.6147735000000001</v>
      </c>
      <c r="Z88" s="68">
        <v>9.7776950000000031</v>
      </c>
      <c r="AA88" s="68">
        <v>7.3831900000000026</v>
      </c>
      <c r="AB88" s="68">
        <v>8.6777600000000028</v>
      </c>
      <c r="AC88" s="68">
        <v>5.1119999999999974</v>
      </c>
      <c r="AD88" s="68">
        <v>4.9507142857142874</v>
      </c>
      <c r="AE88" s="68">
        <v>5.0999999999999996</v>
      </c>
      <c r="AF88" s="68">
        <f>IF($Z$3="yes", 0.0216179256731418/$X88, 0.0216179256731418)</f>
        <v>4.1653035979078608E-3</v>
      </c>
      <c r="AG88" s="68">
        <f>IF($Z$3="yes", -0.0777730423042313/$X88, -0.0777730423042313)</f>
        <v>-1.4985171927597551E-2</v>
      </c>
      <c r="AH88" s="68">
        <f>IF($Z$3="yes", -0.153514549819929/$X88, -0.153514549819929)</f>
        <v>-2.9578911333319653E-2</v>
      </c>
      <c r="AI88" s="68">
        <f>IF($Z$3="yes", -0.162183529411766/$X88, -0.162183529411766)</f>
        <v>-3.1249234954097493E-2</v>
      </c>
      <c r="AJ88" s="68">
        <f>IF($Z$3="yes", -0.0269774436090192/$X88, -0.0269774436090192)</f>
        <v>-5.1979660132984969E-3</v>
      </c>
      <c r="AK88" s="68">
        <f>IF($Z$3="yes", 0.0379999999999996/$X88, 0.0379999999999996)</f>
        <v>7.3217726396916363E-3</v>
      </c>
      <c r="AL88" s="68">
        <f>IF($Z$3="yes", 0.0471428571428629/$X88, 0.0471428571428629)</f>
        <v>9.0834021469870709E-3</v>
      </c>
      <c r="AM88" s="68">
        <f>IF($Z$3="yes", 2.1629215/$X88, 2.1629215)</f>
        <v>0.41674788053949902</v>
      </c>
      <c r="AN88" s="68">
        <f>IF($Z$3="yes", 0.231583499999996/$X88, 0.231583499999996)</f>
        <v>4.4621098265895179E-2</v>
      </c>
      <c r="AO88" s="68">
        <f>IF($Z$3="yes", 1.0629865/$X88, 1.0629865)</f>
        <v>0.20481435452793834</v>
      </c>
      <c r="AP88" s="68">
        <f>IF($Z$3="yes", 2.5027735/$X88, 2.5027735)</f>
        <v>0.48222996146435448</v>
      </c>
      <c r="AQ88" s="68">
        <f>IF($Z$3="yes", 2.66405921428571/$X88, 2.66405921428571)</f>
        <v>0.51330620699146623</v>
      </c>
      <c r="AR88" s="68">
        <f>IF($Z$3="yes", 2.5147735/$X88, 2.5147735)</f>
        <v>0.48454210019267818</v>
      </c>
      <c r="AS88" s="68">
        <f>IF($Z$3="yes", 2.39450499999999/$X88, 2.39450499999999)</f>
        <v>0.46136897880539302</v>
      </c>
      <c r="AT88" s="68">
        <f>IF($Z$3="yes", 1.099935/$X88, 1.099935)</f>
        <v>0.21193352601156071</v>
      </c>
      <c r="AU88" s="88">
        <f>IF($Z$3="yes", 4.665695/$X88, 4.665695)</f>
        <v>0.89897784200385356</v>
      </c>
      <c r="AV88" s="88">
        <f>IF($Z$3="yes", 4.82698071428571/$X88, 4.82698071428571)</f>
        <v>0.9300540875309653</v>
      </c>
      <c r="AW88" s="88">
        <f>IF($Z$3="yes", 4.677695/$X88, 4.677695)</f>
        <v>0.90128998073217714</v>
      </c>
      <c r="AX88" s="88">
        <f>IF($Z$3="yes", 1.29456999999999/$X88, 1.29456999999999)</f>
        <v>0.24943545279383236</v>
      </c>
      <c r="AY88" s="88">
        <f>IF($Z$3="yes", 3.56576/$X88, 3.56576)</f>
        <v>0.68704431599229288</v>
      </c>
      <c r="AZ88" s="88">
        <f>IF($Z$3="yes", 3.72704571428571/$X88, 3.72704571428571)</f>
        <v>0.71812056151940462</v>
      </c>
      <c r="BA88" s="88">
        <f>IF($Z$3="yes", 3.57776/$X88, 3.57776)</f>
        <v>0.68935645472061657</v>
      </c>
      <c r="BB88" s="88">
        <f>IF($Z$3="yes", 2.27119/$X88, 2.27119)</f>
        <v>0.43760886319845849</v>
      </c>
      <c r="BC88" s="88">
        <f>IF($Z$3="yes", 2.43247571428571/$X88, 2.43247571428571)</f>
        <v>0.46868510872557029</v>
      </c>
      <c r="BD88" s="88">
        <f>IF($Z$3="yes", 2.28319/$X88, 2.28319)</f>
        <v>0.43992100192678218</v>
      </c>
      <c r="BE88" s="88">
        <f>IF($Z$3="yes", 0.16128571428571/$X88, 0.16128571428571)</f>
        <v>3.1076245527111752E-2</v>
      </c>
      <c r="BF88" s="88">
        <f>IF($Z$3="yes", 0.0119999999999977/$X88, 0.0119999999999977)</f>
        <v>2.3121387283232559E-3</v>
      </c>
      <c r="BG88" s="88">
        <f>IF($Z$3="yes", 0.149285714285713/$X88, 0.149285714285713)</f>
        <v>2.876410679878863E-2</v>
      </c>
      <c r="BH88" s="88">
        <f>IF($Z$3="yes", 2.66355621768707/$X88, 2.66355621768707)</f>
        <v>0.51320929049847197</v>
      </c>
      <c r="BI88" s="68"/>
      <c r="BJ88" s="68"/>
      <c r="BK88" s="68">
        <f>IF($BL$3="yes", MAX(0, (13742 - 69380) / 119605.628569896), 69380)</f>
        <v>69380</v>
      </c>
      <c r="BL88" s="68">
        <f>IF($BL$3="yes", MAX(0, (13742 - 174538.9) / 172506.243890735), 174538.9)</f>
        <v>174538.9</v>
      </c>
      <c r="BM88" s="68">
        <f>IF($BL$3="yes", MAX(0, (13742 - 359822.7) / 292675.220950134), 359822.7)</f>
        <v>359822.7</v>
      </c>
      <c r="BN88" s="68">
        <f>IF($BL$3="yes", MAX(0, (13742 - 532662.041333333) / 1292328.96667675), 532662.041333333)</f>
        <v>532662.04133333301</v>
      </c>
      <c r="BO88" s="68">
        <f>IF($BL$3="yes", MAX(0, (13742 - 1037348.11733333) / 1483727.39528587), 1037348.11733333)</f>
        <v>1037348.11733333</v>
      </c>
      <c r="BP88" s="68">
        <f>IF($BL$3="yes", MAX(0, (13742 - 574837.423666666) / 1153678.08491726), 574837.423666666)</f>
        <v>574837.42366666603</v>
      </c>
      <c r="BQ88" s="68">
        <v>41.287136290463302</v>
      </c>
      <c r="BR88" s="68"/>
      <c r="BS88" s="68"/>
      <c r="BT88" s="68">
        <v>947295.1442482929</v>
      </c>
      <c r="BU88" s="68">
        <v>-19530.655009546201</v>
      </c>
      <c r="BV88" s="68">
        <f>IF($Z$3="yes", 0.56837093620295/$X88, 0.56837093620295)</f>
        <v>0.10951270447070327</v>
      </c>
      <c r="BW88" s="68">
        <f>IF($Z$3="yes", 1.09993529287292/$X88, 1.09993529287292)</f>
        <v>0.21193358244179575</v>
      </c>
      <c r="BX88" s="68">
        <f>$BW$271 - $BV$271</f>
        <v>-1.495623802897196E-2</v>
      </c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81"/>
      <c r="CR88" s="81"/>
      <c r="CS88" s="68"/>
      <c r="CT88" s="68"/>
      <c r="CU88" s="68"/>
    </row>
    <row r="89" spans="1:99" ht="15.75" customHeight="1" thickBot="1" x14ac:dyDescent="0.3">
      <c r="A89" s="84" t="s">
        <v>205</v>
      </c>
      <c r="B89" s="67" t="s">
        <v>128</v>
      </c>
      <c r="C89" s="83" t="s">
        <v>358</v>
      </c>
      <c r="D89" s="67" t="s">
        <v>359</v>
      </c>
      <c r="E89" s="67">
        <v>1</v>
      </c>
      <c r="F89" s="85">
        <v>4.3600000000000003</v>
      </c>
      <c r="G89" s="313">
        <v>44342</v>
      </c>
      <c r="H89" s="317">
        <v>4.2300000000000004</v>
      </c>
      <c r="I89" s="85">
        <v>5.82</v>
      </c>
      <c r="J89" s="313">
        <v>44357</v>
      </c>
      <c r="K89" s="92">
        <f t="shared" si="4"/>
        <v>-2.9816513761467878E-2</v>
      </c>
      <c r="L89" s="131">
        <f t="shared" si="5"/>
        <v>0.3348623853211008</v>
      </c>
      <c r="M89" s="312">
        <v>44407</v>
      </c>
      <c r="N89" s="68"/>
      <c r="O89" s="291">
        <v>9343671</v>
      </c>
      <c r="P89" s="291">
        <v>6050000</v>
      </c>
      <c r="Q89" s="291">
        <v>15</v>
      </c>
      <c r="R89" s="68" t="s">
        <v>131</v>
      </c>
      <c r="S89" s="68" t="s">
        <v>148</v>
      </c>
      <c r="T89" s="68" t="s">
        <v>163</v>
      </c>
      <c r="U89" s="68">
        <v>136</v>
      </c>
      <c r="V89" s="68">
        <v>174898</v>
      </c>
      <c r="W89" s="68"/>
      <c r="X89" s="68">
        <v>4.42</v>
      </c>
      <c r="Y89" s="68">
        <v>2.783517999999999</v>
      </c>
      <c r="Z89" s="68">
        <v>5.4679019999999996</v>
      </c>
      <c r="AA89" s="68">
        <v>6.9269999999999952</v>
      </c>
      <c r="AB89" s="68">
        <v>8.1177979999999952</v>
      </c>
      <c r="AC89" s="68">
        <v>4.5564999999999971</v>
      </c>
      <c r="AD89" s="68">
        <v>4.1178571428571384</v>
      </c>
      <c r="AE89" s="68">
        <v>4.1112500000000001</v>
      </c>
      <c r="AF89" s="68">
        <f>IF($Z$3="yes", 0.0476013246831171/$X89, 0.0476013246831171)</f>
        <v>1.0769530471293462E-2</v>
      </c>
      <c r="AG89" s="68">
        <f>IF($Z$3="yes", 0.0572185106510653/$X89, 0.0572185106510653)</f>
        <v>1.2945364400693507E-2</v>
      </c>
      <c r="AH89" s="68">
        <f>IF($Z$3="yes", -0.154634813925568/$X89, -0.154634813925568)</f>
        <v>-3.4985252019359273E-2</v>
      </c>
      <c r="AI89" s="68">
        <f>IF($Z$3="yes", -0.130164076830731/$X89, -0.130164076830731)</f>
        <v>-2.9448886160798871E-2</v>
      </c>
      <c r="AJ89" s="68">
        <f>IF($Z$3="yes", -0.100849624060148/$X89, -0.100849624060148)</f>
        <v>-2.2816657027182805E-2</v>
      </c>
      <c r="AK89" s="68">
        <f>IF($Z$3="yes", -0.00367032967033011/$X89, -0.00367032967033011)</f>
        <v>-8.3039132812898415E-4</v>
      </c>
      <c r="AL89" s="68">
        <f>IF($Z$3="yes", 0.0567857142857248/$X89, 0.0567857142857248)</f>
        <v>1.2847446670978462E-2</v>
      </c>
      <c r="AM89" s="68">
        <f>IF($Z$3="yes", 2.684384/$X89, 2.684384)</f>
        <v>0.60732669683257923</v>
      </c>
      <c r="AN89" s="68">
        <f>IF($Z$3="yes", 4.14348199999999/$X89, 4.14348199999999)</f>
        <v>0.93743936651583482</v>
      </c>
      <c r="AO89" s="68">
        <f>IF($Z$3="yes", 5.33427999999999/$X89, 5.33427999999999)</f>
        <v>1.2068506787330293</v>
      </c>
      <c r="AP89" s="68">
        <f>IF($Z$3="yes", 1.77298199999999/$X89, 1.77298199999999)</f>
        <v>0.40112714932126475</v>
      </c>
      <c r="AQ89" s="68">
        <f>IF($Z$3="yes", 1.33433914285713/$X89, 1.33433914285713)</f>
        <v>0.3018866839043281</v>
      </c>
      <c r="AR89" s="68">
        <f>IF($Z$3="yes", 1.327732/$X89, 1.327732)</f>
        <v>0.30039185520361988</v>
      </c>
      <c r="AS89" s="68">
        <f>IF($Z$3="yes", 1.45909799999999/$X89, 1.45909799999999)</f>
        <v>0.33011266968325564</v>
      </c>
      <c r="AT89" s="68">
        <f>IF($Z$3="yes", 2.64989599999999/$X89, 2.64989599999999)</f>
        <v>0.5995239819004502</v>
      </c>
      <c r="AU89" s="88">
        <f>IF($Z$3="yes", 0.911402000000003/$X89, 0.911402000000003)</f>
        <v>0.20619954751131292</v>
      </c>
      <c r="AV89" s="88">
        <f>IF($Z$3="yes", 1.35004485714286/$X89, 1.35004485714286)</f>
        <v>0.30544001292824891</v>
      </c>
      <c r="AW89" s="88">
        <f>IF($Z$3="yes", 1.356652/$X89, 1.356652)</f>
        <v>0.30693484162895929</v>
      </c>
      <c r="AX89" s="88">
        <f>IF($Z$3="yes", 1.190798/$X89, 1.190798)</f>
        <v>0.26941131221719455</v>
      </c>
      <c r="AY89" s="88">
        <f>IF($Z$3="yes", 3.56129799999999/$X89, 3.56129799999999)</f>
        <v>0.80572352941176251</v>
      </c>
      <c r="AZ89" s="88">
        <f>IF($Z$3="yes", 3.99994085714285/$X89, 3.99994085714285)</f>
        <v>0.90496399482869916</v>
      </c>
      <c r="BA89" s="88">
        <f>IF($Z$3="yes", 4.00654799999999/$X89, 4.00654799999999)</f>
        <v>0.90645882352940943</v>
      </c>
      <c r="BB89" s="88">
        <f>IF($Z$3="yes", 2.37049999999999/$X89, 2.37049999999999)</f>
        <v>0.5363122171945679</v>
      </c>
      <c r="BC89" s="88">
        <f>IF($Z$3="yes", 2.80914285714285/$X89, 2.80914285714285)</f>
        <v>0.63555268261150455</v>
      </c>
      <c r="BD89" s="88">
        <f>IF($Z$3="yes", 2.81574999999999/$X89, 2.81574999999999)</f>
        <v>0.63704751131221504</v>
      </c>
      <c r="BE89" s="88">
        <f>IF($Z$3="yes", 0.438642857142859/$X89, 0.438642857142859)</f>
        <v>9.924046541693643E-2</v>
      </c>
      <c r="BF89" s="88">
        <f>IF($Z$3="yes", 0.445249999999997/$X89, 0.445249999999997)</f>
        <v>0.10073529411764638</v>
      </c>
      <c r="BG89" s="88">
        <f>IF($Z$3="yes", 0.00660714285713748/$X89, 0.00660714285713748)</f>
        <v>1.4948287007098371E-3</v>
      </c>
      <c r="BH89" s="88">
        <f>IF($Z$3="yes", 2.25571480272108/$X89, 2.25571480272108)</f>
        <v>0.51034271554775568</v>
      </c>
      <c r="BI89" s="68"/>
      <c r="BJ89" s="68"/>
      <c r="BK89" s="68">
        <f>IF($BL$3="yes", MAX(0, (174898 - 205096.8) / 40899.6106700296), 205096.8)</f>
        <v>205096.8</v>
      </c>
      <c r="BL89" s="68">
        <f>IF($BL$3="yes", MAX(0, (174898 - 203820.8) / 56778.240144971), 203820.8)</f>
        <v>203820.79999999999</v>
      </c>
      <c r="BM89" s="68">
        <f>IF($BL$3="yes", MAX(0, (174898 - 292608.95) / 188371.060832197), 292608.95)</f>
        <v>292608.95</v>
      </c>
      <c r="BN89" s="68">
        <f>IF($BL$3="yes", MAX(0, (174898 - 764769.88) / 1064874.91576871), 764769.88)</f>
        <v>764769.88</v>
      </c>
      <c r="BO89" s="68">
        <f>IF($BL$3="yes", MAX(0, (174898 - 786014.47) / 1108426.0970208), 786014.47)</f>
        <v>786014.47</v>
      </c>
      <c r="BP89" s="68">
        <f>IF($BL$3="yes", MAX(0, (174898 - 542835.29) / 859031.209234429), 542835.29)</f>
        <v>542835.29</v>
      </c>
      <c r="BQ89" s="68">
        <v>36.761917479752753</v>
      </c>
      <c r="BR89" s="68"/>
      <c r="BS89" s="68"/>
      <c r="BT89" s="68">
        <v>-9710415.9818830527</v>
      </c>
      <c r="BU89" s="68">
        <v>-17329.211469216269</v>
      </c>
      <c r="BV89" s="68">
        <f>IF($Z$3="yes", 0.531098724389905/$X89, 0.531098724389905)</f>
        <v>0.12015808244115499</v>
      </c>
      <c r="BW89" s="68">
        <f>IF($Z$3="yes", 1.00953035821501/$X89, 1.00953035821501)</f>
        <v>0.22840053353280768</v>
      </c>
      <c r="BX89" s="68">
        <f>$BW$274 - $BV$274</f>
        <v>1.6860273159621242E-2</v>
      </c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81"/>
      <c r="CR89" s="81"/>
      <c r="CS89" s="68"/>
      <c r="CT89" s="68"/>
      <c r="CU89" s="68"/>
    </row>
    <row r="90" spans="1:99" ht="15.75" customHeight="1" thickBot="1" x14ac:dyDescent="0.3">
      <c r="A90" s="84" t="s">
        <v>360</v>
      </c>
      <c r="B90" s="67" t="s">
        <v>128</v>
      </c>
      <c r="C90" s="83" t="s">
        <v>361</v>
      </c>
      <c r="D90" s="67" t="s">
        <v>362</v>
      </c>
      <c r="E90" s="67">
        <v>1</v>
      </c>
      <c r="F90" s="85">
        <v>7.32</v>
      </c>
      <c r="G90" s="313">
        <v>44342</v>
      </c>
      <c r="H90" s="317">
        <v>6.71</v>
      </c>
      <c r="I90" s="85">
        <v>11.05</v>
      </c>
      <c r="J90" s="313">
        <v>44355</v>
      </c>
      <c r="K90" s="137">
        <f t="shared" si="4"/>
        <v>-8.333333333333337E-2</v>
      </c>
      <c r="L90" s="138">
        <f t="shared" si="5"/>
        <v>0.5095628415300546</v>
      </c>
      <c r="M90" s="312">
        <v>44407</v>
      </c>
      <c r="N90" s="68"/>
      <c r="O90" s="291">
        <v>198228533</v>
      </c>
      <c r="P90" s="291">
        <v>192500000</v>
      </c>
      <c r="Q90" s="291">
        <v>13</v>
      </c>
      <c r="R90" s="68" t="s">
        <v>131</v>
      </c>
      <c r="S90" s="68" t="s">
        <v>148</v>
      </c>
      <c r="T90" s="68" t="s">
        <v>154</v>
      </c>
      <c r="U90" s="68">
        <v>2004</v>
      </c>
      <c r="V90" s="68">
        <v>42872792</v>
      </c>
      <c r="W90" s="68"/>
      <c r="X90" s="68">
        <v>7.66</v>
      </c>
      <c r="Y90" s="68">
        <v>3.862597999999998</v>
      </c>
      <c r="Z90" s="68">
        <v>7.3011500000000016</v>
      </c>
      <c r="AA90" s="68">
        <v>8.5206999999999979</v>
      </c>
      <c r="AB90" s="68">
        <v>8.6680999999999973</v>
      </c>
      <c r="AC90" s="68">
        <v>9.8062500000000004</v>
      </c>
      <c r="AD90" s="68">
        <v>8.7724999999999955</v>
      </c>
      <c r="AE90" s="68">
        <v>8.4962499999999963</v>
      </c>
      <c r="AF90" s="68">
        <f>IF($Z$3="yes", 0.0605882448061202/$X90, 0.0605882448061202)</f>
        <v>7.9096925334360569E-3</v>
      </c>
      <c r="AG90" s="68">
        <f>IF($Z$3="yes", 0.0694036303630359/$X90, 0.0694036303630359)</f>
        <v>9.0605261570542942E-3</v>
      </c>
      <c r="AH90" s="68">
        <f>IF($Z$3="yes", 0.0513855942376959/$X90, 0.0513855942376959)</f>
        <v>6.708302119803642E-3</v>
      </c>
      <c r="AI90" s="68">
        <f>IF($Z$3="yes", 0.0393572629051629/$X90, 0.0393572629051629)</f>
        <v>5.1380238779586028E-3</v>
      </c>
      <c r="AJ90" s="68">
        <f>IF($Z$3="yes", -0.27531954887218/$X90, -0.27531954887218)</f>
        <v>-3.5942499852765014E-2</v>
      </c>
      <c r="AK90" s="68">
        <f>IF($Z$3="yes", -0.123901098901096/$X90, -0.123901098901096)</f>
        <v>-1.617507818552167E-2</v>
      </c>
      <c r="AL90" s="68">
        <f>IF($Z$3="yes", -0.192261904761905/$X90, -0.192261904761905)</f>
        <v>-2.509946537361684E-2</v>
      </c>
      <c r="AM90" s="68">
        <f>IF($Z$3="yes", 3.438552/$X90, 3.438552)</f>
        <v>0.44889712793733683</v>
      </c>
      <c r="AN90" s="68">
        <f>IF($Z$3="yes", 4.65810199999999/$X90, 4.65810199999999)</f>
        <v>0.60810731070495949</v>
      </c>
      <c r="AO90" s="68">
        <f>IF($Z$3="yes", 4.80550199999999/$X90, 4.80550199999999)</f>
        <v>0.62735013054830158</v>
      </c>
      <c r="AP90" s="68">
        <f>IF($Z$3="yes", 5.943652/$X90, 5.943652)</f>
        <v>0.77593368146214103</v>
      </c>
      <c r="AQ90" s="68">
        <f>IF($Z$3="yes", 4.90990199999999/$X90, 4.90990199999999)</f>
        <v>0.64097937336814492</v>
      </c>
      <c r="AR90" s="68">
        <f>IF($Z$3="yes", 4.63365199999999/$X90, 4.63365199999999)</f>
        <v>0.60491540469973759</v>
      </c>
      <c r="AS90" s="68">
        <f>IF($Z$3="yes", 1.21954999999999/$X90, 1.21954999999999)</f>
        <v>0.15921018276762269</v>
      </c>
      <c r="AT90" s="68">
        <f>IF($Z$3="yes", 1.36694999999999/$X90, 1.36694999999999)</f>
        <v>0.17845300261096472</v>
      </c>
      <c r="AU90" s="88">
        <f>IF($Z$3="yes", 2.50509999999999/$X90, 2.50509999999999)</f>
        <v>0.32703655352480288</v>
      </c>
      <c r="AV90" s="88">
        <f>IF($Z$3="yes", 1.47134999999999/$X90, 1.47134999999999)</f>
        <v>0.1920822454308081</v>
      </c>
      <c r="AW90" s="88">
        <f>IF($Z$3="yes", 1.19509999999999/$X90, 1.19509999999999)</f>
        <v>0.15601827676240079</v>
      </c>
      <c r="AX90" s="88">
        <f>IF($Z$3="yes", 0.147399999999999/$X90, 0.147399999999999)</f>
        <v>1.9242819843341905E-2</v>
      </c>
      <c r="AY90" s="88">
        <f>IF($Z$3="yes", 1.13815/$X90, 1.13815)</f>
        <v>0.14858355091383812</v>
      </c>
      <c r="AZ90" s="88">
        <f>IF($Z$3="yes", 0.104399999999998/$X90, 0.104399999999998)</f>
        <v>1.362924281984308E-2</v>
      </c>
      <c r="BA90" s="88">
        <f>IF($Z$3="yes", 0.17185/$X90, 0.17185)</f>
        <v>2.2434725848563968E-2</v>
      </c>
      <c r="BB90" s="88">
        <f>IF($Z$3="yes", 1.28555/$X90, 1.28555)</f>
        <v>0.16782637075718015</v>
      </c>
      <c r="BC90" s="88">
        <f>IF($Z$3="yes", 0.251799999999997/$X90, 0.251799999999997)</f>
        <v>3.2872062663184987E-2</v>
      </c>
      <c r="BD90" s="88">
        <f>IF($Z$3="yes", 0.0244500000000016/$X90, 0.0244500000000016)</f>
        <v>3.1919060052221409E-3</v>
      </c>
      <c r="BE90" s="88">
        <f>IF($Z$3="yes", 1.03375/$X90, 1.03375)</f>
        <v>0.13495430809399478</v>
      </c>
      <c r="BF90" s="88">
        <f>IF($Z$3="yes", 1.31/$X90, 1.31)</f>
        <v>0.17101827676240208</v>
      </c>
      <c r="BG90" s="88">
        <f>IF($Z$3="yes", 0.276249999999999/$X90, 0.276249999999999)</f>
        <v>3.6063968668407179E-2</v>
      </c>
      <c r="BH90" s="88">
        <f>IF($Z$3="yes", 2.43157657142856/$X90, 2.43157657142856)</f>
        <v>0.3174381947034674</v>
      </c>
      <c r="BI90" s="68"/>
      <c r="BJ90" s="68"/>
      <c r="BK90" s="68">
        <f>IF($BL$3="yes", MAX(0, (42872792 - 32140932.2) / 8831816.05691537), 32140932.2)</f>
        <v>32140932.199999999</v>
      </c>
      <c r="BL90" s="68">
        <f>IF($BL$3="yes", MAX(0, (42872792 - 37066288.1) / 10726128.2904002), 37066288.1)</f>
        <v>37066288.100000001</v>
      </c>
      <c r="BM90" s="68">
        <f>IF($BL$3="yes", MAX(0, (42872792 - 82906439.9) / 64361055.1005333), 82906439.9)</f>
        <v>82906439.900000006</v>
      </c>
      <c r="BN90" s="68">
        <f>IF($BL$3="yes", MAX(0, (42872792 - 69803025.12) / 90823065.5630004), 69803025.12)</f>
        <v>69803025.120000005</v>
      </c>
      <c r="BO90" s="68">
        <f>IF($BL$3="yes", MAX(0, (42872792 - 60179834.28) / 77514016.5824523), 60179834.28)</f>
        <v>60179834.280000001</v>
      </c>
      <c r="BP90" s="68">
        <f>IF($BL$3="yes", MAX(0, (42872792 - 45413335.18) / 100188521.974957), 45413335.18)</f>
        <v>45413335.18</v>
      </c>
      <c r="BQ90" s="68">
        <v>42.530142266760492</v>
      </c>
      <c r="BR90" s="68"/>
      <c r="BS90" s="68"/>
      <c r="BT90" s="68">
        <v>101074438.9393945</v>
      </c>
      <c r="BU90" s="68">
        <v>-14181803.1494742</v>
      </c>
      <c r="BV90" s="68">
        <f>IF($Z$3="yes", 1.32112478261292/$X90, 1.32112478261292)</f>
        <v>0.17247059825233943</v>
      </c>
      <c r="BW90" s="68">
        <f>IF($Z$3="yes", 1.38842426347414/$X90, 1.38842426347414)</f>
        <v>0.18125643126294255</v>
      </c>
      <c r="BX90" s="68">
        <f>$BW$270 - $BV$270</f>
        <v>9.9373411580544052E-2</v>
      </c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81"/>
      <c r="CR90" s="81"/>
      <c r="CS90" s="68"/>
      <c r="CT90" s="68"/>
      <c r="CU90" s="68"/>
    </row>
    <row r="91" spans="1:99" ht="15.75" customHeight="1" thickBot="1" x14ac:dyDescent="0.3">
      <c r="A91" s="84"/>
      <c r="B91" s="67" t="s">
        <v>181</v>
      </c>
      <c r="C91" s="83" t="s">
        <v>363</v>
      </c>
      <c r="D91" s="67" t="s">
        <v>364</v>
      </c>
      <c r="E91" s="67">
        <v>2</v>
      </c>
      <c r="F91" s="85">
        <v>1.1999999999999999E-3</v>
      </c>
      <c r="G91" s="313">
        <v>44342</v>
      </c>
      <c r="H91" s="317">
        <v>5.9999999999999995E-4</v>
      </c>
      <c r="I91" s="85">
        <v>3.0000000000000001E-3</v>
      </c>
      <c r="J91" s="313">
        <v>44371</v>
      </c>
      <c r="K91" s="139">
        <f t="shared" si="4"/>
        <v>-0.5</v>
      </c>
      <c r="L91" s="140">
        <f t="shared" si="5"/>
        <v>1.5000000000000004</v>
      </c>
      <c r="M91" s="312">
        <v>44407</v>
      </c>
      <c r="N91" s="68"/>
      <c r="O91" s="68">
        <v>5752596220</v>
      </c>
      <c r="P91" s="68"/>
      <c r="Q91" s="68">
        <v>29</v>
      </c>
      <c r="R91" s="68"/>
      <c r="S91" s="68" t="s">
        <v>157</v>
      </c>
      <c r="T91" s="68"/>
      <c r="U91" s="68">
        <v>2004</v>
      </c>
      <c r="V91" s="68">
        <v>705287148</v>
      </c>
      <c r="W91" s="68"/>
      <c r="X91" s="68">
        <v>1.1000000000000001E-3</v>
      </c>
      <c r="Y91" s="68">
        <v>1.330500000000001E-3</v>
      </c>
      <c r="Z91" s="68">
        <v>2.3039999999999979E-3</v>
      </c>
      <c r="AA91" s="68">
        <v>3.4759999999999982E-3</v>
      </c>
      <c r="AB91" s="68">
        <v>2.7179999999999991E-3</v>
      </c>
      <c r="AC91" s="68">
        <v>5.9349999999999993E-3</v>
      </c>
      <c r="AD91" s="68">
        <v>5.3071428571428566E-3</v>
      </c>
      <c r="AE91" s="68">
        <v>4.0749999999999996E-3</v>
      </c>
      <c r="AF91" s="68">
        <f>IF($Z$3="yes", 0.0000218983724593114/$X91, 0.0000218983724593114)</f>
        <v>1.9907611326646726E-2</v>
      </c>
      <c r="AG91" s="68">
        <f>IF($Z$3="yes", 0.0000524668466846685/$X91, 0.0000524668466846685)</f>
        <v>4.7697133349698634E-2</v>
      </c>
      <c r="AH91" s="68">
        <f>IF($Z$3="yes", 0.000129488595438175/$X91, 0.000129488595438175)</f>
        <v>0.11771690494379546</v>
      </c>
      <c r="AI91" s="68">
        <f>IF($Z$3="yes", 0.000156345738295318/$X91, 0.000156345738295318)</f>
        <v>0.14213248935938</v>
      </c>
      <c r="AJ91" s="68">
        <f>IF($Z$3="yes", -0.000281428571428571/$X91, -0.000281428571428571)</f>
        <v>-0.25584415584415543</v>
      </c>
      <c r="AK91" s="68">
        <f>IF($Z$3="yes", -0.000460000000000001/$X91, -0.000460000000000001)</f>
        <v>-0.41818181818181904</v>
      </c>
      <c r="AL91" s="68">
        <f>IF($Z$3="yes", -0.000849999999999995/$X91, -0.000849999999999995)</f>
        <v>-0.77272727272726816</v>
      </c>
      <c r="AM91" s="68">
        <f>IF($Z$3="yes", 0.000973499999999997/$X91, 0.000973499999999997)</f>
        <v>0.88499999999999723</v>
      </c>
      <c r="AN91" s="68">
        <f>IF($Z$3="yes", 0.00214549999999999/$X91, 0.00214549999999999)</f>
        <v>1.9504545454545361</v>
      </c>
      <c r="AO91" s="68">
        <f>IF($Z$3="yes", 0.00138749999999999/$X91, 0.00138749999999999)</f>
        <v>1.2613636363636274</v>
      </c>
      <c r="AP91" s="68">
        <f>IF($Z$3="yes", 0.00460449999999999/$X91, 0.00460449999999999)</f>
        <v>4.1859090909090817</v>
      </c>
      <c r="AQ91" s="68">
        <f>IF($Z$3="yes", 0.00397664285714285/$X91, 0.00397664285714285)</f>
        <v>3.6151298701298629</v>
      </c>
      <c r="AR91" s="68">
        <f>IF($Z$3="yes", 0.00274449999999999/$X91, 0.00274449999999999)</f>
        <v>2.4949999999999908</v>
      </c>
      <c r="AS91" s="68">
        <f>IF($Z$3="yes", 0.00117199999999999/$X91, 0.00117199999999999)</f>
        <v>1.0654545454545363</v>
      </c>
      <c r="AT91" s="68">
        <f>IF($Z$3="yes", 0.000414000000000001/$X91, 0.000414000000000001)</f>
        <v>0.37636363636363723</v>
      </c>
      <c r="AU91" s="88">
        <f>IF($Z$3="yes", 0.003631/$X91, 0.003631)</f>
        <v>3.3009090909090908</v>
      </c>
      <c r="AV91" s="88">
        <f>IF($Z$3="yes", 0.00300314285714285/$X91, 0.00300314285714285)</f>
        <v>2.7301298701298635</v>
      </c>
      <c r="AW91" s="88">
        <f>IF($Z$3="yes", 0.001771/$X91, 0.001771)</f>
        <v>1.6099999999999999</v>
      </c>
      <c r="AX91" s="88">
        <f>IF($Z$3="yes", 0.000757999999999998/$X91, 0.000757999999999998)</f>
        <v>0.68909090909090731</v>
      </c>
      <c r="AY91" s="88">
        <f>IF($Z$3="yes", 0.003217/$X91, 0.003217)</f>
        <v>2.9245454545454543</v>
      </c>
      <c r="AZ91" s="88">
        <f>IF($Z$3="yes", 0.00258914285714285/$X91, 0.00258914285714285)</f>
        <v>2.3537662337662275</v>
      </c>
      <c r="BA91" s="88">
        <f>IF($Z$3="yes", 0.001357/$X91, 0.001357)</f>
        <v>1.2336363636363634</v>
      </c>
      <c r="BB91" s="88">
        <f>IF($Z$3="yes", 0.002459/$X91, 0.002459)</f>
        <v>2.2354545454545454</v>
      </c>
      <c r="BC91" s="88">
        <f>IF($Z$3="yes", 0.00183114285714285/$X91, 0.00183114285714285)</f>
        <v>1.6646753246753181</v>
      </c>
      <c r="BD91" s="88">
        <f>IF($Z$3="yes", 0.000599000000000001/$X91, 0.000599000000000001)</f>
        <v>0.54454545454545544</v>
      </c>
      <c r="BE91" s="88">
        <f>IF($Z$3="yes", 0.000627857142857142/$X91, 0.000627857142857142)</f>
        <v>0.57077922077921994</v>
      </c>
      <c r="BF91" s="88">
        <f>IF($Z$3="yes", 0.00185999999999999/$X91, 0.00185999999999999)</f>
        <v>1.6909090909090816</v>
      </c>
      <c r="BG91" s="88">
        <f>IF($Z$3="yes", 0.00123214285714285/$X91, 0.00123214285714285)</f>
        <v>1.1201298701298636</v>
      </c>
      <c r="BH91" s="88">
        <f>IF($Z$3="yes", 0.00231508163265306/$X91, 0.00231508163265306)</f>
        <v>2.1046196660482361</v>
      </c>
      <c r="BI91" s="68"/>
      <c r="BJ91" s="68"/>
      <c r="BK91" s="68">
        <f>IF($BL$3="yes", MAX(0, (705287148 - 918036078.8) / 854449282.600532), 918036078.8)</f>
        <v>918036078.79999995</v>
      </c>
      <c r="BL91" s="68">
        <f>IF($BL$3="yes", MAX(0, (705287148 - 721830397.9) / 655587555.650871), 721830397.9)</f>
        <v>721830397.89999998</v>
      </c>
      <c r="BM91" s="68">
        <f>IF($BL$3="yes", MAX(0, (705287148 - 855373140.1) / 630545594.674579), 855373140.1)</f>
        <v>855373140.10000002</v>
      </c>
      <c r="BN91" s="68">
        <f>IF($BL$3="yes", MAX(0, (705287148 - 519142037.98) / 675957154.785872), 519142037.98)</f>
        <v>519142037.98000002</v>
      </c>
      <c r="BO91" s="68">
        <f>IF($BL$3="yes", MAX(0, (705287148 - 289751694.34) / 531891034.938718), 289751694.34)</f>
        <v>289751694.33999997</v>
      </c>
      <c r="BP91" s="68">
        <f>IF($BL$3="yes", MAX(0, (705287148 - 167936881.17) / 401816742.957899), 167936881.17)</f>
        <v>167936881.16999999</v>
      </c>
      <c r="BQ91" s="68">
        <v>37.865894222933491</v>
      </c>
      <c r="BR91" s="68"/>
      <c r="BS91" s="68"/>
      <c r="BT91" s="68">
        <v>-2691711832.2898002</v>
      </c>
      <c r="BU91" s="68">
        <v>-554988358.46378326</v>
      </c>
      <c r="BV91" s="68">
        <f>IF($Z$3="yes", 0.00191735700579524/$X91, 0.00191735700579524)</f>
        <v>1.7430518234502179</v>
      </c>
      <c r="BW91" s="68">
        <f>IF($Z$3="yes", 0.00111022312340853/$X91, 0.00111022312340853)</f>
        <v>1.009293748553209</v>
      </c>
      <c r="BX91" s="68">
        <f>$BW$272 - $BV$272</f>
        <v>1.138791593514521E-2</v>
      </c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81"/>
      <c r="CR91" s="81"/>
      <c r="CS91" s="68"/>
      <c r="CT91" s="68"/>
      <c r="CU91" s="68"/>
    </row>
    <row r="92" spans="1:99" ht="15.75" customHeight="1" thickBot="1" x14ac:dyDescent="0.3">
      <c r="A92" s="84"/>
      <c r="B92" s="67" t="s">
        <v>181</v>
      </c>
      <c r="C92" s="83" t="s">
        <v>365</v>
      </c>
      <c r="D92" s="67" t="s">
        <v>366</v>
      </c>
      <c r="E92" s="67">
        <v>1</v>
      </c>
      <c r="F92" s="85">
        <v>8.9999999999999998E-4</v>
      </c>
      <c r="G92" s="313">
        <v>44342</v>
      </c>
      <c r="H92" s="317">
        <v>4.0000000000000002E-4</v>
      </c>
      <c r="I92" s="85">
        <v>1E-3</v>
      </c>
      <c r="J92" s="313">
        <v>44343</v>
      </c>
      <c r="K92" s="125">
        <f t="shared" si="4"/>
        <v>-0.55555555555555558</v>
      </c>
      <c r="L92" s="130">
        <f t="shared" si="5"/>
        <v>0.11111111111111116</v>
      </c>
      <c r="M92" s="312">
        <v>44407</v>
      </c>
      <c r="N92" s="68"/>
      <c r="O92" s="68">
        <v>11982201325</v>
      </c>
      <c r="P92" s="68"/>
      <c r="Q92" s="68">
        <v>1</v>
      </c>
      <c r="R92" s="68"/>
      <c r="S92" s="68" t="s">
        <v>148</v>
      </c>
      <c r="T92" s="68"/>
      <c r="U92" s="68">
        <v>308</v>
      </c>
      <c r="V92" s="68">
        <v>111645615</v>
      </c>
      <c r="W92" s="68"/>
      <c r="X92" s="68">
        <v>1E-3</v>
      </c>
      <c r="Y92" s="68" t="e">
        <v>#N/A</v>
      </c>
      <c r="Z92" s="68">
        <v>7.9599999999999886E-4</v>
      </c>
      <c r="AA92" s="68">
        <v>9.2999999999999875E-4</v>
      </c>
      <c r="AB92" s="68">
        <v>8.8799999999999925E-4</v>
      </c>
      <c r="AC92" s="68">
        <v>1E-3</v>
      </c>
      <c r="AD92" s="68">
        <v>9.2857142857142813E-4</v>
      </c>
      <c r="AE92" s="68">
        <v>9.124999999999999E-4</v>
      </c>
      <c r="AF92" s="68" t="e">
        <f>IF($Z$3="yes", #N/A/$X92, #N/A)</f>
        <v>#N/A</v>
      </c>
      <c r="AG92" s="68">
        <f>IF($Z$3="yes", 7.21992199219931E-06/$X92, 7.21992199219931E-06)</f>
        <v>7.2199219921993095E-3</v>
      </c>
      <c r="AH92" s="68">
        <f>IF($Z$3="yes", 5.84393757503012E-06/$X92, 5.84393757503012E-06)</f>
        <v>5.8439375750301203E-3</v>
      </c>
      <c r="AI92" s="68">
        <f>IF($Z$3="yes", 0.0000114765906362546/$X92, 0.0000114765906362546)</f>
        <v>1.1476590636254599E-2</v>
      </c>
      <c r="AJ92" s="68">
        <f>IF($Z$3="yes", -0.0000175939849624066/$X92, -0.0000175939849624066)</f>
        <v>-1.7593984962406602E-2</v>
      </c>
      <c r="AK92" s="68">
        <f>IF($Z$3="yes", -6.59340659340593E-06/$X92, -6.59340659340593E-06)</f>
        <v>-6.5934065934059299E-3</v>
      </c>
      <c r="AL92" s="68">
        <f>IF($Z$3="yes", 8.33333333333522E-06/$X92, 8.33333333333522E-06)</f>
        <v>8.3333333333352189E-3</v>
      </c>
      <c r="AM92" s="68"/>
      <c r="AN92" s="68"/>
      <c r="AO92" s="68"/>
      <c r="AP92" s="68"/>
      <c r="AQ92" s="68"/>
      <c r="AR92" s="68"/>
      <c r="AS92" s="68">
        <f>IF($Z$3="yes", 0.000133999999999999/$X92, 0.000133999999999999)</f>
        <v>0.13399999999999901</v>
      </c>
      <c r="AT92" s="68">
        <f>IF($Z$3="yes", 0.0000920000000000003/$X92, 0.0000920000000000003)</f>
        <v>9.200000000000029E-2</v>
      </c>
      <c r="AU92" s="88">
        <f>IF($Z$3="yes", 0.000204000000000001/$X92, 0.000204000000000001)</f>
        <v>0.20400000000000099</v>
      </c>
      <c r="AV92" s="88">
        <f>IF($Z$3="yes", 0.000132571428571429/$X92, 0.000132571428571429)</f>
        <v>0.13257142857142901</v>
      </c>
      <c r="AW92" s="88">
        <f>IF($Z$3="yes", 0.000116500000000001/$X92, 0.000116500000000001)</f>
        <v>0.11650000000000101</v>
      </c>
      <c r="AX92" s="88">
        <f>IF($Z$3="yes", 0.0000419999999999995/$X92, 0.0000419999999999995)</f>
        <v>4.1999999999999503E-2</v>
      </c>
      <c r="AY92" s="88">
        <f>IF($Z$3="yes", 0.000112000000000001/$X92, 0.000112000000000001)</f>
        <v>0.112000000000001</v>
      </c>
      <c r="AZ92" s="88">
        <f>IF($Z$3="yes", 0.0000405714285714288/$X92, 0.0000405714285714288)</f>
        <v>4.05714285714288E-2</v>
      </c>
      <c r="BA92" s="88">
        <f>IF($Z$3="yes", 0.0000245000000000006/$X92, 0.0000245000000000006)</f>
        <v>2.4500000000000598E-2</v>
      </c>
      <c r="BB92" s="88">
        <f>IF($Z$3="yes", 0.0000700000000000017/$X92, 0.0000700000000000017)</f>
        <v>7.00000000000017E-2</v>
      </c>
      <c r="BC92" s="88">
        <f>IF($Z$3="yes", 1.42857142857062E-06/$X92, 1.42857142857062E-06)</f>
        <v>1.42857142857062E-3</v>
      </c>
      <c r="BD92" s="88">
        <f>IF($Z$3="yes", 0.0000174999999999988/$X92, 0.0000174999999999988)</f>
        <v>1.7499999999998798E-2</v>
      </c>
      <c r="BE92" s="88">
        <f>IF($Z$3="yes", 0.0000714285714285723/$X92, 0.0000714285714285723)</f>
        <v>7.1428571428572299E-2</v>
      </c>
      <c r="BF92" s="88">
        <f>IF($Z$3="yes", 0.0000875000000000005/$X92, 0.0000875000000000005)</f>
        <v>8.7500000000000494E-2</v>
      </c>
      <c r="BG92" s="88">
        <f>IF($Z$3="yes", 0.0000160714285714282/$X92, 0.0000160714285714282)</f>
        <v>1.6071428571428199E-2</v>
      </c>
      <c r="BH92" s="88">
        <f>IF($Z$3="yes", 0.000143006802721088/$X92, 0.000143006802721088)</f>
        <v>0.14300680272108798</v>
      </c>
      <c r="BI92" s="68"/>
      <c r="BJ92" s="68"/>
      <c r="BK92" s="68">
        <f>IF($BL$3="yes", MAX(0, (111645615 - 334485144) / 339430518.590334), 334485144)</f>
        <v>334485144</v>
      </c>
      <c r="BL92" s="68">
        <f>IF($BL$3="yes", MAX(0, (111645615 - 226293989.5) / 264449923.68402), 226293989.5)</f>
        <v>226293989.5</v>
      </c>
      <c r="BM92" s="68">
        <f>IF($BL$3="yes", MAX(0, (111645615 - 240389231.45) / 196934271.267775), 240389231.45)</f>
        <v>240389231.44999999</v>
      </c>
      <c r="BN92" s="68">
        <f>IF($BL$3="yes", MAX(0, (111645615 - 351175299.38) / 530355548.125172), 351175299.38)</f>
        <v>351175299.38</v>
      </c>
      <c r="BO92" s="68">
        <f>IF($BL$3="yes", MAX(0, (111645615 - 440307281.4) / 537075006.633777), 440307281.4)</f>
        <v>440307281.39999998</v>
      </c>
      <c r="BP92" s="68">
        <f>IF($BL$3="yes", MAX(0, (111645615 - 260439958.094736) / 450044896.002954), 260439958.094736)</f>
        <v>260439958.09473601</v>
      </c>
      <c r="BQ92" s="68">
        <v>54.445723543393932</v>
      </c>
      <c r="BR92" s="68"/>
      <c r="BS92" s="68"/>
      <c r="BT92" s="68">
        <v>464430109.35897338</v>
      </c>
      <c r="BU92" s="68">
        <v>89363288.748046935</v>
      </c>
      <c r="BV92" s="68">
        <f>IF($Z$3="yes", 0.000200354381702694/$X92, 0.000200354381702694)</f>
        <v>0.20035438170269398</v>
      </c>
      <c r="BW92" s="68">
        <f>IF($Z$3="yes", 0.000264810703931591/$X92, 0.000264810703931591)</f>
        <v>0.26481070393159101</v>
      </c>
      <c r="BX92" s="68">
        <f>$BW$273 - $BV$273</f>
        <v>9.1468741931619441E-3</v>
      </c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81"/>
      <c r="CR92" s="81"/>
      <c r="CS92" s="68"/>
      <c r="CT92" s="68"/>
      <c r="CU92" s="68"/>
    </row>
    <row r="93" spans="1:99" ht="15.75" customHeight="1" thickBot="1" x14ac:dyDescent="0.3">
      <c r="A93" s="84"/>
      <c r="B93" s="67" t="s">
        <v>181</v>
      </c>
      <c r="C93" s="83" t="s">
        <v>367</v>
      </c>
      <c r="D93" s="67" t="s">
        <v>368</v>
      </c>
      <c r="E93" s="67">
        <v>1</v>
      </c>
      <c r="F93" s="85">
        <v>8.0000000000000004E-4</v>
      </c>
      <c r="G93" s="313">
        <v>44341</v>
      </c>
      <c r="H93" s="317">
        <v>1.1000000000000001E-3</v>
      </c>
      <c r="I93" s="85">
        <v>2E-3</v>
      </c>
      <c r="J93" s="313">
        <v>44369</v>
      </c>
      <c r="K93" s="141">
        <f t="shared" si="4"/>
        <v>0.375</v>
      </c>
      <c r="L93" s="134">
        <f t="shared" si="5"/>
        <v>1.5</v>
      </c>
      <c r="M93" s="312">
        <v>44407</v>
      </c>
      <c r="N93" s="68"/>
      <c r="O93" s="68">
        <v>19042966799</v>
      </c>
      <c r="P93" s="68"/>
      <c r="Q93" s="68">
        <v>28</v>
      </c>
      <c r="R93" s="68"/>
      <c r="S93" s="68" t="s">
        <v>220</v>
      </c>
      <c r="T93" s="68"/>
      <c r="U93" s="68">
        <v>208</v>
      </c>
      <c r="V93" s="68">
        <v>95969848</v>
      </c>
      <c r="W93" s="68"/>
      <c r="X93" s="68">
        <v>8.9999999999999998E-4</v>
      </c>
      <c r="Y93" s="68" t="e">
        <v>#N/A</v>
      </c>
      <c r="Z93" s="68">
        <v>8.0199999999999868E-4</v>
      </c>
      <c r="AA93" s="68">
        <v>1.001999999999999E-3</v>
      </c>
      <c r="AB93" s="68">
        <v>1.0079999999999989E-3</v>
      </c>
      <c r="AC93" s="68">
        <v>9.3500000000000083E-4</v>
      </c>
      <c r="AD93" s="68">
        <v>9.1428571428571448E-4</v>
      </c>
      <c r="AE93" s="68">
        <v>9.2500000000000069E-4</v>
      </c>
      <c r="AF93" s="68" t="e">
        <f>IF($Z$3="yes", #N/A/$X93, #N/A)</f>
        <v>#N/A</v>
      </c>
      <c r="AG93" s="68">
        <f>IF($Z$3="yes", 8.35403540354047E-06/$X93, 8.35403540354047E-06)</f>
        <v>9.2822615594894114E-3</v>
      </c>
      <c r="AH93" s="68">
        <f>IF($Z$3="yes", -3.25090036014381E-06/$X93, -3.25090036014381E-06)</f>
        <v>-3.6121115112709001E-3</v>
      </c>
      <c r="AI93" s="68">
        <f>IF($Z$3="yes", 0.0000012869147659065/$X93, 0.0000012869147659065)</f>
        <v>1.4299052954516666E-3</v>
      </c>
      <c r="AJ93" s="68">
        <f>IF($Z$3="yes", -4.28571428571514E-06/$X93, -4.28571428571514E-06)</f>
        <v>-4.7619047619057112E-3</v>
      </c>
      <c r="AK93" s="68">
        <f>IF($Z$3="yes", 3.07692307692225E-06/$X93, 3.07692307692225E-06)</f>
        <v>3.4188034188024998E-3</v>
      </c>
      <c r="AL93" s="68">
        <f>IF($Z$3="yes", 0.0000119047619047617/$X93, 0.0000119047619047617)</f>
        <v>1.3227513227513001E-2</v>
      </c>
      <c r="AM93" s="68"/>
      <c r="AN93" s="68"/>
      <c r="AO93" s="68"/>
      <c r="AP93" s="68"/>
      <c r="AQ93" s="68"/>
      <c r="AR93" s="68"/>
      <c r="AS93" s="68">
        <f>IF($Z$3="yes", 0.000199999999999999/$X93, 0.000199999999999999)</f>
        <v>0.22222222222222113</v>
      </c>
      <c r="AT93" s="68">
        <f>IF($Z$3="yes", 0.000206/$X93, 0.000206)</f>
        <v>0.22888888888888889</v>
      </c>
      <c r="AU93" s="88">
        <f>IF($Z$3="yes", 0.000133000000000002/$X93, 0.000133000000000002)</f>
        <v>0.14777777777778001</v>
      </c>
      <c r="AV93" s="88">
        <f>IF($Z$3="yes", 0.000112285714285715/$X93, 0.000112285714285715)</f>
        <v>0.12476190476190555</v>
      </c>
      <c r="AW93" s="88">
        <f>IF($Z$3="yes", 0.000123000000000002/$X93, 0.000123000000000002)</f>
        <v>0.13666666666666888</v>
      </c>
      <c r="AX93" s="88">
        <f>IF($Z$3="yes", 6.00000000000057E-06/$X93, 6.00000000000057E-06)</f>
        <v>6.6666666666673003E-3</v>
      </c>
      <c r="AY93" s="88">
        <f>IF($Z$3="yes", 0.0000729999999999983/$X93, 0.0000729999999999983)</f>
        <v>8.1111111111109233E-2</v>
      </c>
      <c r="AZ93" s="88">
        <f>IF($Z$3="yes", 0.0000937142857142846/$X93, 0.0000937142857142846)</f>
        <v>0.1041269841269829</v>
      </c>
      <c r="BA93" s="88">
        <f>IF($Z$3="yes", 0.0000829999999999984/$X93, 0.0000829999999999984)</f>
        <v>9.2222222222220443E-2</v>
      </c>
      <c r="BB93" s="88">
        <f>IF($Z$3="yes", 0.0000669999999999977/$X93, 0.0000669999999999977)</f>
        <v>7.4444444444441885E-2</v>
      </c>
      <c r="BC93" s="88">
        <f>IF($Z$3="yes", 0.000087714285714284/$X93, 0.000087714285714284)</f>
        <v>9.7460317460315554E-2</v>
      </c>
      <c r="BD93" s="88">
        <f>IF($Z$3="yes", 0.0000769999999999978/$X93, 0.0000769999999999978)</f>
        <v>8.5555555555553123E-2</v>
      </c>
      <c r="BE93" s="88">
        <f>IF($Z$3="yes", 0.0000207142857142863/$X93, 0.0000207142857142863)</f>
        <v>2.301587301587367E-2</v>
      </c>
      <c r="BF93" s="88">
        <f>IF($Z$3="yes", 0.0000100000000000001/$X93, 0.0000100000000000001)</f>
        <v>1.1111111111111223E-2</v>
      </c>
      <c r="BG93" s="88">
        <f>IF($Z$3="yes", 0.0000107142857142862/$X93, 0.0000107142857142862)</f>
        <v>1.1904761904762445E-2</v>
      </c>
      <c r="BH93" s="88">
        <f>IF($Z$3="yes", 0.000149639455782312/$X93, 0.000149639455782312)</f>
        <v>0.16626606198034669</v>
      </c>
      <c r="BI93" s="68"/>
      <c r="BJ93" s="68"/>
      <c r="BK93" s="68">
        <f>IF($BL$3="yes", MAX(0, (95969848 - 117725431) / 114134155.441985), 117725431)</f>
        <v>117725431</v>
      </c>
      <c r="BL93" s="68">
        <f>IF($BL$3="yes", MAX(0, (95969848 - 148121201.9) / 117597075.790901), 148121201.9)</f>
        <v>148121201.90000001</v>
      </c>
      <c r="BM93" s="68">
        <f>IF($BL$3="yes", MAX(0, (95969848 - 132033120.1) / 94156156.6648521), 132033120.1)</f>
        <v>132033120.09999999</v>
      </c>
      <c r="BN93" s="68">
        <f>IF($BL$3="yes", MAX(0, (95969848 - 203787890.56) / 155090756.141417), 203787890.56)</f>
        <v>203787890.56</v>
      </c>
      <c r="BO93" s="68">
        <f>IF($BL$3="yes", MAX(0, (95969848 - 450270854.11) / 632052132.17672), 450270854.11)</f>
        <v>450270854.11000001</v>
      </c>
      <c r="BP93" s="68">
        <f>IF($BL$3="yes", MAX(0, (95969848 - 236721527.823834) / 506119894.408003), 236721527.823834)</f>
        <v>236721527.823834</v>
      </c>
      <c r="BQ93" s="68">
        <v>46.000972776944693</v>
      </c>
      <c r="BR93" s="68"/>
      <c r="BS93" s="68"/>
      <c r="BT93" s="68">
        <v>1480511529.666667</v>
      </c>
      <c r="BU93" s="68">
        <v>99440727.853515148</v>
      </c>
      <c r="BV93" s="68">
        <f>IF($Z$3="yes", 0.000175953424288263/$X93, 0.000175953424288263)</f>
        <v>0.19550380476473669</v>
      </c>
      <c r="BW93" s="68">
        <f>IF($Z$3="yes", 0.000239547954620742/$X93, 0.000239547954620742)</f>
        <v>0.26616439402304665</v>
      </c>
      <c r="BX93" s="68">
        <f>$BW$268 - $BV$268</f>
        <v>-3.1694862923423807E-2</v>
      </c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81"/>
      <c r="CR93" s="81"/>
      <c r="CS93" s="68"/>
      <c r="CT93" s="68"/>
      <c r="CU93" s="68"/>
    </row>
    <row r="94" spans="1:99" ht="15.75" customHeight="1" thickBot="1" x14ac:dyDescent="0.3">
      <c r="A94" s="84"/>
      <c r="B94" s="67" t="s">
        <v>181</v>
      </c>
      <c r="C94" s="83" t="s">
        <v>369</v>
      </c>
      <c r="D94" s="67" t="s">
        <v>370</v>
      </c>
      <c r="E94" s="67">
        <v>1</v>
      </c>
      <c r="F94" s="85">
        <v>5.9999999999999995E-4</v>
      </c>
      <c r="G94" s="313">
        <v>44341</v>
      </c>
      <c r="H94" s="317">
        <v>5.0000000000000001E-4</v>
      </c>
      <c r="I94" s="85">
        <v>1E-3</v>
      </c>
      <c r="J94" s="313">
        <v>44365</v>
      </c>
      <c r="K94" s="142">
        <f t="shared" si="4"/>
        <v>-0.16666666666666663</v>
      </c>
      <c r="L94" s="143">
        <f t="shared" si="5"/>
        <v>0.66666666666666674</v>
      </c>
      <c r="M94" s="312">
        <v>44407</v>
      </c>
      <c r="N94" s="68"/>
      <c r="O94" s="68">
        <v>95719033</v>
      </c>
      <c r="P94" s="68"/>
      <c r="Q94" s="68">
        <v>24</v>
      </c>
      <c r="R94" s="68"/>
      <c r="S94" s="68" t="s">
        <v>148</v>
      </c>
      <c r="T94" s="68"/>
      <c r="U94" s="68">
        <v>72</v>
      </c>
      <c r="V94" s="68">
        <v>74820926</v>
      </c>
      <c r="W94" s="68"/>
      <c r="X94" s="68">
        <v>5.9999999999999995E-4</v>
      </c>
      <c r="Y94" s="68" t="e">
        <v>#N/A</v>
      </c>
      <c r="Z94" s="68">
        <v>5.0499999999999861E-4</v>
      </c>
      <c r="AA94" s="68">
        <v>4.5800000000000051E-4</v>
      </c>
      <c r="AB94" s="68">
        <v>4.3200000000000058E-4</v>
      </c>
      <c r="AC94" s="68">
        <v>5.250000000000004E-4</v>
      </c>
      <c r="AD94" s="68">
        <v>5.7142857142857136E-4</v>
      </c>
      <c r="AE94" s="68">
        <v>6.125000000000002E-4</v>
      </c>
      <c r="AF94" s="68" t="e">
        <f>IF($Z$3="yes", #N/A/$X94, #N/A)</f>
        <v>#N/A</v>
      </c>
      <c r="AG94" s="68">
        <f>IF($Z$3="yes", 3.51035103510485E-07/$X94, 3.51035103510485E-07)</f>
        <v>5.8505850585080846E-4</v>
      </c>
      <c r="AH94" s="68">
        <f>IF($Z$3="yes", 3.99999999999992E-06/$X94, 3.99999999999992E-06)</f>
        <v>6.6666666666665344E-3</v>
      </c>
      <c r="AI94" s="68">
        <f>IF($Z$3="yes", -4.80192076830827E-07/$X94, -4.80192076830827E-07)</f>
        <v>-8.003201280513784E-4</v>
      </c>
      <c r="AJ94" s="68">
        <f>IF($Z$3="yes", 0.0000142105263157892/$X94, 0.0000142105263157892)</f>
        <v>2.3684210526315336E-2</v>
      </c>
      <c r="AK94" s="68">
        <f>IF($Z$3="yes", 0.0000127472527472523/$X94, 0.0000127472527472523)</f>
        <v>2.12454212454205E-2</v>
      </c>
      <c r="AL94" s="68">
        <f>IF($Z$3="yes", 8.33333333333258E-06/$X94, 8.33333333333258E-06)</f>
        <v>1.3888888888887634E-2</v>
      </c>
      <c r="AM94" s="68"/>
      <c r="AN94" s="68"/>
      <c r="AO94" s="68"/>
      <c r="AP94" s="68"/>
      <c r="AQ94" s="68"/>
      <c r="AR94" s="68"/>
      <c r="AS94" s="68">
        <f>IF($Z$3="yes", 0.0000469999999999981/$X94, 0.0000469999999999981)</f>
        <v>7.8333333333330174E-2</v>
      </c>
      <c r="AT94" s="68">
        <f>IF($Z$3="yes", 0.0000729999999999979/$X94, 0.0000729999999999979)</f>
        <v>0.12166666666666318</v>
      </c>
      <c r="AU94" s="88">
        <f>IF($Z$3="yes", 0.0000200000000000017/$X94, 0.0000200000000000017)</f>
        <v>3.3333333333336171E-2</v>
      </c>
      <c r="AV94" s="88">
        <f>IF($Z$3="yes", 0.0000664285714285727/$X94, 0.0000664285714285727)</f>
        <v>0.11071428571428783</v>
      </c>
      <c r="AW94" s="88">
        <f>IF($Z$3="yes", 0.000107500000000001/$X94, 0.000107500000000001)</f>
        <v>0.17916666666666836</v>
      </c>
      <c r="AX94" s="88">
        <f>IF($Z$3="yes", 0.0000259999999999998/$X94, 0.0000259999999999998)</f>
        <v>4.3333333333333002E-2</v>
      </c>
      <c r="AY94" s="88">
        <f>IF($Z$3="yes", 0.0000929999999999997/$X94, 0.0000929999999999997)</f>
        <v>0.1549999999999995</v>
      </c>
      <c r="AZ94" s="88">
        <f>IF($Z$3="yes", 0.00013942857142857/$X94, 0.00013942857142857)</f>
        <v>0.23238095238095002</v>
      </c>
      <c r="BA94" s="88">
        <f>IF($Z$3="yes", 0.000180499999999999/$X94, 0.000180499999999999)</f>
        <v>0.30083333333333168</v>
      </c>
      <c r="BB94" s="88">
        <f>IF($Z$3="yes", 0.0000669999999999999/$X94, 0.0000669999999999999)</f>
        <v>0.1116666666666665</v>
      </c>
      <c r="BC94" s="88">
        <f>IF($Z$3="yes", 0.00011342857142857/$X94, 0.00011342857142857)</f>
        <v>0.18904761904761669</v>
      </c>
      <c r="BD94" s="88">
        <f>IF($Z$3="yes", 0.000154499999999999/$X94, 0.000154499999999999)</f>
        <v>0.2574999999999984</v>
      </c>
      <c r="BE94" s="88">
        <f>IF($Z$3="yes", 0.0000464285714285709/$X94, 0.0000464285714285709)</f>
        <v>7.7380952380951509E-2</v>
      </c>
      <c r="BF94" s="88">
        <f>IF($Z$3="yes", 0.0000874999999999998/$X94, 0.0000874999999999998)</f>
        <v>0.14583333333333301</v>
      </c>
      <c r="BG94" s="88">
        <f>IF($Z$3="yes", 0.0000410714285714288/$X94, 0.0000410714285714288)</f>
        <v>6.8452380952381334E-2</v>
      </c>
      <c r="BH94" s="88">
        <f>IF($Z$3="yes", 0.000116510204081632/$X94, 0.000116510204081632)</f>
        <v>0.19418367346938667</v>
      </c>
      <c r="BI94" s="68"/>
      <c r="BJ94" s="68"/>
      <c r="BK94" s="68">
        <f>IF($BL$3="yes", MAX(0, (74820926 - 115310481) / 69556778.0487527), 115310481)</f>
        <v>115310481</v>
      </c>
      <c r="BL94" s="68">
        <f>IF($BL$3="yes", MAX(0, (74820926 - 175205307.4) / 169349991.754254), 175205307.4)</f>
        <v>175205307.40000001</v>
      </c>
      <c r="BM94" s="68">
        <f>IF($BL$3="yes", MAX(0, (74820926 - 199115121.95) / 347169990.902451), 199115121.95)</f>
        <v>199115121.94999999</v>
      </c>
      <c r="BN94" s="68">
        <f>IF($BL$3="yes", MAX(0, (74820926 - 182325212.38) / 263457715.400801), 182325212.38)</f>
        <v>182325212.38</v>
      </c>
      <c r="BO94" s="68">
        <f>IF($BL$3="yes", MAX(0, (74820926 - 135950670.72) / 203011125.456591), 135950670.72)</f>
        <v>135950670.72</v>
      </c>
      <c r="BP94" s="68">
        <f>IF($BL$3="yes", MAX(0, (74820926 - 87751279) / 183865394.727146), 87751279)</f>
        <v>87751279</v>
      </c>
      <c r="BQ94" s="68">
        <v>53.182444454166621</v>
      </c>
      <c r="BR94" s="68"/>
      <c r="BS94" s="68"/>
      <c r="BT94" s="68">
        <v>1034477777</v>
      </c>
      <c r="BU94" s="68">
        <v>63097495.277605183</v>
      </c>
      <c r="BV94" s="68">
        <f>IF($Z$3="yes", 0.000164683123706733/$X94, 0.000164683123706733)</f>
        <v>0.27447187284455504</v>
      </c>
      <c r="BW94" s="68">
        <f>IF($Z$3="yes", 0.000190472123563908/$X94, 0.000190472123563908)</f>
        <v>0.31745353927318004</v>
      </c>
      <c r="BX94" s="68">
        <f>$BW$269 - $BV$269</f>
        <v>4.2958466781754467E-2</v>
      </c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81"/>
      <c r="CR94" s="81"/>
      <c r="CS94" s="68"/>
      <c r="CT94" s="68"/>
      <c r="CU94" s="68"/>
    </row>
    <row r="95" spans="1:99" ht="15.75" customHeight="1" thickBot="1" x14ac:dyDescent="0.3">
      <c r="A95" s="84"/>
      <c r="B95" s="67" t="s">
        <v>128</v>
      </c>
      <c r="C95" s="83" t="s">
        <v>371</v>
      </c>
      <c r="D95" s="67" t="s">
        <v>372</v>
      </c>
      <c r="E95" s="67">
        <v>1</v>
      </c>
      <c r="F95" s="85">
        <v>3.52</v>
      </c>
      <c r="G95" s="313">
        <v>44340</v>
      </c>
      <c r="H95" s="317">
        <v>3.21</v>
      </c>
      <c r="I95" s="85">
        <v>4.7699999999999996</v>
      </c>
      <c r="J95" s="313">
        <v>44356</v>
      </c>
      <c r="K95" s="150">
        <f t="shared" si="4"/>
        <v>-8.8068181818181879E-2</v>
      </c>
      <c r="L95" s="151">
        <f t="shared" si="5"/>
        <v>0.35511363636363624</v>
      </c>
      <c r="M95" s="312">
        <v>44407</v>
      </c>
      <c r="N95" s="68"/>
      <c r="O95" s="291">
        <v>42455515</v>
      </c>
      <c r="P95" s="291">
        <v>37380000</v>
      </c>
      <c r="Q95" s="291">
        <v>16</v>
      </c>
      <c r="R95" s="68" t="s">
        <v>131</v>
      </c>
      <c r="S95" s="68" t="s">
        <v>220</v>
      </c>
      <c r="T95" s="68" t="s">
        <v>373</v>
      </c>
      <c r="U95" s="68">
        <v>16</v>
      </c>
      <c r="V95" s="68">
        <v>1850618</v>
      </c>
      <c r="W95" s="68"/>
      <c r="X95" s="68">
        <v>3.52</v>
      </c>
      <c r="Y95" s="68">
        <v>2.249077999999999</v>
      </c>
      <c r="Z95" s="68">
        <v>3.4398000000000009</v>
      </c>
      <c r="AA95" s="68">
        <v>4.1400000000000006</v>
      </c>
      <c r="AB95" s="68">
        <v>4.369200000000002</v>
      </c>
      <c r="AC95" s="68">
        <v>3.5094999999999992</v>
      </c>
      <c r="AD95" s="68">
        <v>3.335</v>
      </c>
      <c r="AE95" s="68">
        <v>3.3312500000000012</v>
      </c>
      <c r="AF95" s="68">
        <f>IF($Z$3="yes", 0.0213840672016801/$X95, 0.0213840672016801)</f>
        <v>6.0750190913863916E-3</v>
      </c>
      <c r="AG95" s="68">
        <f>IF($Z$3="yes", 0.0283295529552954/$X95, 0.0283295529552954)</f>
        <v>8.0481684532089197E-3</v>
      </c>
      <c r="AH95" s="68">
        <f>IF($Z$3="yes", -0.0425027611044422/$X95, -0.0425027611044422)</f>
        <v>-1.2074648041034716E-2</v>
      </c>
      <c r="AI95" s="68">
        <f>IF($Z$3="yes", -0.0264019207683076/$X95, -0.0264019207683076)</f>
        <v>-7.500545672814659E-3</v>
      </c>
      <c r="AJ95" s="68">
        <f>IF($Z$3="yes", -0.0356466165413523/$X95, -0.0356466165413523)</f>
        <v>-1.0126879699247813E-2</v>
      </c>
      <c r="AK95" s="68">
        <f>IF($Z$3="yes", 0.00595604395604318/$X95, 0.00595604395604318)</f>
        <v>1.6920579420577216E-3</v>
      </c>
      <c r="AL95" s="68">
        <f>IF($Z$3="yes", 0.0574999999999991/$X95, 0.0574999999999991)</f>
        <v>1.6335227272727015E-2</v>
      </c>
      <c r="AM95" s="68">
        <f>IF($Z$3="yes", 1.190722/$X95, 1.190722)</f>
        <v>0.33827329545454549</v>
      </c>
      <c r="AN95" s="68">
        <f>IF($Z$3="yes", 1.890922/$X95, 1.890922)</f>
        <v>0.53719375000000003</v>
      </c>
      <c r="AO95" s="68">
        <f>IF($Z$3="yes", 2.120122/$X95, 2.120122)</f>
        <v>0.60230738636363634</v>
      </c>
      <c r="AP95" s="68">
        <f>IF($Z$3="yes", 1.260422/$X95, 1.260422)</f>
        <v>0.35807443181818177</v>
      </c>
      <c r="AQ95" s="68">
        <f>IF($Z$3="yes", 1.085922/$X95, 1.085922)</f>
        <v>0.3085005681818182</v>
      </c>
      <c r="AR95" s="68">
        <f>IF($Z$3="yes", 1.082172/$X95, 1.082172)</f>
        <v>0.30743522727272726</v>
      </c>
      <c r="AS95" s="68">
        <f>IF($Z$3="yes", 0.7002/$X95, 0.7002)</f>
        <v>0.19892045454545457</v>
      </c>
      <c r="AT95" s="68">
        <f>IF($Z$3="yes", 0.9294/$X95, 0.9294)</f>
        <v>0.26403409090909091</v>
      </c>
      <c r="AU95" s="88">
        <f>IF($Z$3="yes", 0.0696999999999978/$X95, 0.0696999999999978)</f>
        <v>1.980113636363574E-2</v>
      </c>
      <c r="AV95" s="88">
        <f>IF($Z$3="yes", 0.104800000000001/$X95, 0.104800000000001)</f>
        <v>2.9772727272727558E-2</v>
      </c>
      <c r="AW95" s="88">
        <f>IF($Z$3="yes", 0.10855/$X95, 0.10855)</f>
        <v>3.0838068181818178E-2</v>
      </c>
      <c r="AX95" s="88">
        <f>IF($Z$3="yes", 0.2292/$X95, 0.2292)</f>
        <v>6.511363636363636E-2</v>
      </c>
      <c r="AY95" s="88">
        <f>IF($Z$3="yes", 0.859700000000002/$X95, 0.859700000000002)</f>
        <v>0.24423295454545513</v>
      </c>
      <c r="AZ95" s="88">
        <f>IF($Z$3="yes", 1.0342/$X95, 1.0342)</f>
        <v>0.2938068181818182</v>
      </c>
      <c r="BA95" s="88">
        <f>IF($Z$3="yes", 1.03795/$X95, 1.03795)</f>
        <v>0.29487215909090908</v>
      </c>
      <c r="BB95" s="88">
        <f>IF($Z$3="yes", 0.630500000000002/$X95, 0.630500000000002)</f>
        <v>0.17911931818181873</v>
      </c>
      <c r="BC95" s="88">
        <f>IF($Z$3="yes", 0.805000000000001/$X95, 0.805000000000001)</f>
        <v>0.22869318181818213</v>
      </c>
      <c r="BD95" s="88">
        <f>IF($Z$3="yes", 0.80875/$X95, 0.80875)</f>
        <v>0.22975852272727271</v>
      </c>
      <c r="BE95" s="88">
        <f>IF($Z$3="yes", 0.174499999999999/$X95, 0.174499999999999)</f>
        <v>4.9573863636363347E-2</v>
      </c>
      <c r="BF95" s="88">
        <f>IF($Z$3="yes", 0.178249999999998/$X95, 0.178249999999998)</f>
        <v>5.0639204545453974E-2</v>
      </c>
      <c r="BG95" s="88">
        <f>IF($Z$3="yes", 0.00374999999999881/$X95, 0.00374999999999881)</f>
        <v>1.065340909090571E-3</v>
      </c>
      <c r="BH95" s="88">
        <f>IF($Z$3="yes", 0.947111333333334/$X95, 0.947111333333334)</f>
        <v>0.26906571969696985</v>
      </c>
      <c r="BI95" s="68"/>
      <c r="BJ95" s="68"/>
      <c r="BK95" s="68">
        <f>IF($BL$3="yes", MAX(0, (1850618 - 934088.2) / 483370.922332487), 934088.2)</f>
        <v>934088.2</v>
      </c>
      <c r="BL95" s="68">
        <f>IF($BL$3="yes", MAX(0, (1850618 - 987508.9) / 400329.039085213), 987508.9)</f>
        <v>987508.9</v>
      </c>
      <c r="BM95" s="68">
        <f>IF($BL$3="yes", MAX(0, (1850618 - 832822.5) / 330703.566604368), 832822.5)</f>
        <v>832822.5</v>
      </c>
      <c r="BN95" s="68">
        <f>IF($BL$3="yes", MAX(0, (1850618 - 1266934.96) / 1068780.5588162), 1266934.96)</f>
        <v>1266934.96</v>
      </c>
      <c r="BO95" s="68">
        <f>IF($BL$3="yes", MAX(0, (1850618 - 7309866) / 37744874.4143103), 7309866)</f>
        <v>7309866</v>
      </c>
      <c r="BP95" s="68">
        <f>IF($BL$3="yes", MAX(0, (1850618 - 4014435.91) / 26905236.5876935), 4014435.91)</f>
        <v>4014435.91</v>
      </c>
      <c r="BQ95" s="68">
        <v>46.623960741248673</v>
      </c>
      <c r="BR95" s="68"/>
      <c r="BS95" s="68"/>
      <c r="BT95" s="68">
        <v>-595350.51419587084</v>
      </c>
      <c r="BU95" s="68">
        <v>425415.03331552772</v>
      </c>
      <c r="BV95" s="68">
        <f>IF($Z$3="yes", 0.31782183802158/$X95, 0.31782183802158)</f>
        <v>9.0290294892494308E-2</v>
      </c>
      <c r="BW95" s="68">
        <f>IF($Z$3="yes", 0.515268326336657/$X95, 0.515268326336657)</f>
        <v>0.14638304725473208</v>
      </c>
      <c r="BX95" s="68">
        <f>$BW$267 - $BV$267</f>
        <v>7.9653094532986662E-3</v>
      </c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81"/>
      <c r="CR95" s="81"/>
      <c r="CS95" s="68"/>
      <c r="CT95" s="68"/>
      <c r="CU95" s="68"/>
    </row>
    <row r="96" spans="1:99" ht="15.75" customHeight="1" thickBot="1" x14ac:dyDescent="0.3">
      <c r="A96" s="84"/>
      <c r="B96" s="67" t="s">
        <v>181</v>
      </c>
      <c r="C96" s="83" t="s">
        <v>374</v>
      </c>
      <c r="D96" s="67" t="s">
        <v>375</v>
      </c>
      <c r="E96" s="67">
        <v>1</v>
      </c>
      <c r="F96" s="85">
        <v>6.9999999999999999E-4</v>
      </c>
      <c r="G96" s="313">
        <v>44340</v>
      </c>
      <c r="H96" s="317">
        <v>4.0000000000000002E-4</v>
      </c>
      <c r="I96" s="317">
        <v>8.0000000000000004E-4</v>
      </c>
      <c r="J96" s="313">
        <v>44341</v>
      </c>
      <c r="K96" s="125">
        <f t="shared" si="4"/>
        <v>-0.42857142857142849</v>
      </c>
      <c r="L96" s="137">
        <f t="shared" si="5"/>
        <v>0.14285714285714302</v>
      </c>
      <c r="M96" s="312">
        <v>44407</v>
      </c>
      <c r="N96" s="68"/>
      <c r="O96" s="68">
        <v>4584705385</v>
      </c>
      <c r="P96" s="68"/>
      <c r="Q96" s="68">
        <v>1</v>
      </c>
      <c r="R96" s="68"/>
      <c r="S96" s="68" t="s">
        <v>192</v>
      </c>
      <c r="T96" s="68"/>
      <c r="U96" s="68">
        <v>180</v>
      </c>
      <c r="V96" s="68">
        <v>45285772</v>
      </c>
      <c r="W96" s="68"/>
      <c r="X96" s="68">
        <v>6.9999999999999999E-4</v>
      </c>
      <c r="Y96" s="68" t="e">
        <v>#N/A</v>
      </c>
      <c r="Z96" s="68">
        <v>7.0699999999999962E-4</v>
      </c>
      <c r="AA96" s="68">
        <v>6.6200000000000135E-4</v>
      </c>
      <c r="AB96" s="68">
        <v>6.5200000000000132E-4</v>
      </c>
      <c r="AC96" s="68">
        <v>7.1999999999999972E-4</v>
      </c>
      <c r="AD96" s="68">
        <v>7.2857142857142836E-4</v>
      </c>
      <c r="AE96" s="68">
        <v>7.4999999999999991E-4</v>
      </c>
      <c r="AF96" s="68" t="e">
        <f>IF($Z$3="yes", #N/A/$X96, #N/A)</f>
        <v>#N/A</v>
      </c>
      <c r="AG96" s="68">
        <f>IF($Z$3="yes", 1.22112211221122E-06/$X96, 1.22112211221122E-06)</f>
        <v>1.7444601603017428E-3</v>
      </c>
      <c r="AH96" s="68">
        <f>IF($Z$3="yes", 2.22328931572596E-06/$X96, 2.22328931572596E-06)</f>
        <v>3.1761275938942284E-3</v>
      </c>
      <c r="AI96" s="68">
        <f>IF($Z$3="yes", -4.22569027611328E-07/$X96, -4.22569027611328E-07)</f>
        <v>-6.0367003944475426E-4</v>
      </c>
      <c r="AJ96" s="68">
        <f>IF($Z$3="yes", 2.55639097744416E-06/$X96, 2.55639097744416E-06)</f>
        <v>3.6519871106345143E-3</v>
      </c>
      <c r="AK96" s="68">
        <f>IF($Z$3="yes", 2.19780219780258E-06/$X96, 2.19780219780258E-06)</f>
        <v>3.1397174254322573E-3</v>
      </c>
      <c r="AL96" s="68">
        <f>IF($Z$3="yes", -0.0000190476190476182/$X96, -0.0000190476190476182)</f>
        <v>-2.7210884353740285E-2</v>
      </c>
      <c r="AM96" s="68"/>
      <c r="AN96" s="68"/>
      <c r="AO96" s="68"/>
      <c r="AP96" s="68"/>
      <c r="AQ96" s="68"/>
      <c r="AR96" s="68"/>
      <c r="AS96" s="68">
        <f>IF($Z$3="yes", 0.0000449999999999982/$X96, 0.0000449999999999982)</f>
        <v>6.4285714285711712E-2</v>
      </c>
      <c r="AT96" s="68">
        <f>IF($Z$3="yes", 0.0000549999999999983/$X96, 0.0000549999999999983)</f>
        <v>7.8571428571426141E-2</v>
      </c>
      <c r="AU96" s="88">
        <f>IF($Z$3="yes", 0.000013/$X96, 0.000013)</f>
        <v>1.8571428571428572E-2</v>
      </c>
      <c r="AV96" s="88">
        <f>IF($Z$3="yes", 0.0000215714285714287/$X96, 0.0000215714285714287)</f>
        <v>3.0816326530612427E-2</v>
      </c>
      <c r="AW96" s="88">
        <f>IF($Z$3="yes", 0.0000430000000000002/$X96, 0.0000430000000000002)</f>
        <v>6.1428571428571714E-2</v>
      </c>
      <c r="AX96" s="88">
        <f>IF($Z$3="yes", 0.00001/$X96, 0.00001)</f>
        <v>1.4285714285714287E-2</v>
      </c>
      <c r="AY96" s="88">
        <f>IF($Z$3="yes", 0.0000679999999999984/$X96, 0.0000679999999999984)</f>
        <v>9.7142857142854852E-2</v>
      </c>
      <c r="AZ96" s="88">
        <f>IF($Z$3="yes", 0.000076571428571427/$X96, 0.000076571428571427)</f>
        <v>0.10938775510203858</v>
      </c>
      <c r="BA96" s="88">
        <f>IF($Z$3="yes", 0.0000979999999999985/$X96, 0.0000979999999999985)</f>
        <v>0.13999999999999788</v>
      </c>
      <c r="BB96" s="88">
        <f>IF($Z$3="yes", 0.0000579999999999983/$X96, 0.0000579999999999983)</f>
        <v>8.2857142857140423E-2</v>
      </c>
      <c r="BC96" s="88">
        <f>IF($Z$3="yes", 0.000066571428571427/$X96, 0.000066571428571427)</f>
        <v>9.5102040816324285E-2</v>
      </c>
      <c r="BD96" s="88">
        <f>IF($Z$3="yes", 0.0000879999999999985/$X96, 0.0000879999999999985)</f>
        <v>0.12571428571428356</v>
      </c>
      <c r="BE96" s="88">
        <f>IF($Z$3="yes", 8.57142857142864E-06/$X96, 8.57142857142864E-06)</f>
        <v>1.2244897959183772E-2</v>
      </c>
      <c r="BF96" s="88">
        <f>IF($Z$3="yes", 0.0000300000000000001/$X96, 0.0000300000000000001)</f>
        <v>4.2857142857142996E-2</v>
      </c>
      <c r="BG96" s="88">
        <f>IF($Z$3="yes", 0.0000214285714285715/$X96, 0.0000214285714285715)</f>
        <v>3.0612244897959284E-2</v>
      </c>
      <c r="BH96" s="88">
        <f>IF($Z$3="yes", 0.000103870748299319/$X96, 0.000103870748299319)</f>
        <v>0.14838678328474142</v>
      </c>
      <c r="BI96" s="68"/>
      <c r="BJ96" s="68"/>
      <c r="BK96" s="68">
        <f>IF($BL$3="yes", MAX(0, (45285772 - 114674751.8) / 125793268.567114), 114674751.8)</f>
        <v>114674751.8</v>
      </c>
      <c r="BL96" s="68">
        <f>IF($BL$3="yes", MAX(0, (45285772 - 363331316.2) / 742014192.681922), 363331316.2)</f>
        <v>363331316.19999999</v>
      </c>
      <c r="BM96" s="68">
        <f>IF($BL$3="yes", MAX(0, (45285772 - 234861324.55) / 546877762.620775), 234861324.55)</f>
        <v>234861324.55000001</v>
      </c>
      <c r="BN96" s="68">
        <f>IF($BL$3="yes", MAX(0, (45285772 - 138029344.76) / 367674684.407791), 138029344.76)</f>
        <v>138029344.75999999</v>
      </c>
      <c r="BO96" s="68">
        <f>IF($BL$3="yes", MAX(0, (45285772 - 214042117.06) / 328429655.904651), 214042117.06)</f>
        <v>214042117.06</v>
      </c>
      <c r="BP96" s="68">
        <f>IF($BL$3="yes", MAX(0, (45285772 - 179386195.184523) / 422404195.210374), 179386195.184523)</f>
        <v>179386195.18452299</v>
      </c>
      <c r="BQ96" s="68">
        <v>50.189259318938568</v>
      </c>
      <c r="BR96" s="68"/>
      <c r="BS96" s="68"/>
      <c r="BT96" s="68">
        <v>-269482289.83333379</v>
      </c>
      <c r="BU96" s="68">
        <v>-24420740.49349964</v>
      </c>
      <c r="BV96" s="68">
        <f>IF($Z$3="yes", 0.000232056171905639/$X96, 0.000232056171905639)</f>
        <v>0.33150881700805568</v>
      </c>
      <c r="BW96" s="68">
        <f>IF($Z$3="yes", 0.000245122441253662/$X96, 0.000245122441253662)</f>
        <v>0.35017491607666001</v>
      </c>
      <c r="BX96" s="68">
        <f>$BW$260 - $BV$260</f>
        <v>-2.0238060200685748E-2</v>
      </c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81"/>
      <c r="CR96" s="81"/>
      <c r="CS96" s="68"/>
      <c r="CT96" s="68"/>
      <c r="CU96" s="68"/>
    </row>
    <row r="97" spans="1:99" ht="15.75" customHeight="1" thickBot="1" x14ac:dyDescent="0.3">
      <c r="A97" s="84"/>
      <c r="B97" s="67" t="s">
        <v>181</v>
      </c>
      <c r="C97" s="83" t="s">
        <v>376</v>
      </c>
      <c r="D97" s="67" t="s">
        <v>377</v>
      </c>
      <c r="E97" s="67">
        <v>2</v>
      </c>
      <c r="F97" s="85">
        <v>5.9999999999999995E-4</v>
      </c>
      <c r="G97" s="313">
        <v>44340</v>
      </c>
      <c r="H97" s="317">
        <v>8.0000000000000004E-4</v>
      </c>
      <c r="I97" s="317">
        <v>1.1000000000000001E-3</v>
      </c>
      <c r="J97" s="313">
        <v>44364</v>
      </c>
      <c r="K97" s="100">
        <f t="shared" si="4"/>
        <v>0.33333333333333348</v>
      </c>
      <c r="L97" s="143">
        <f t="shared" si="5"/>
        <v>0.8333333333333337</v>
      </c>
      <c r="M97" s="312">
        <v>44407</v>
      </c>
      <c r="N97" s="68"/>
      <c r="O97" s="68">
        <v>6146636426</v>
      </c>
      <c r="P97" s="68"/>
      <c r="Q97" s="68">
        <v>24</v>
      </c>
      <c r="R97" s="68"/>
      <c r="S97" s="68" t="s">
        <v>148</v>
      </c>
      <c r="T97" s="68"/>
      <c r="U97" s="68">
        <v>168</v>
      </c>
      <c r="V97" s="68">
        <v>33952520</v>
      </c>
      <c r="W97" s="68"/>
      <c r="X97" s="68">
        <v>8.0000000000000004E-4</v>
      </c>
      <c r="Y97" s="68">
        <v>3.6850000000000028E-4</v>
      </c>
      <c r="Z97" s="68">
        <v>6.2899999999999957E-4</v>
      </c>
      <c r="AA97" s="68">
        <v>6.4000000000000124E-4</v>
      </c>
      <c r="AB97" s="68">
        <v>6.0400000000000113E-4</v>
      </c>
      <c r="AC97" s="68">
        <v>7.049999999999999E-4</v>
      </c>
      <c r="AD97" s="68">
        <v>7.5714285714285694E-4</v>
      </c>
      <c r="AE97" s="68">
        <v>8.3750000000000025E-4</v>
      </c>
      <c r="AF97" s="68">
        <f>IF($Z$3="yes", 4.32618315457885E-06/$X97, 4.32618315457885E-06)</f>
        <v>5.4077289432235623E-3</v>
      </c>
      <c r="AG97" s="68">
        <f>IF($Z$3="yes", 3.01290129012898E-06/$X97, 3.01290129012898E-06)</f>
        <v>3.766126612661225E-3</v>
      </c>
      <c r="AH97" s="68">
        <f>IF($Z$3="yes", 4.40816326530597E-06/$X97, 4.40816326530597E-06)</f>
        <v>5.5102040816324624E-3</v>
      </c>
      <c r="AI97" s="68">
        <f>IF($Z$3="yes", -3.26530612245037E-07/$X97, -3.26530612245037E-07)</f>
        <v>-4.0816326530629621E-4</v>
      </c>
      <c r="AJ97" s="68">
        <f>IF($Z$3="yes", 0.0000167669172932331/$X97, 0.0000167669172932331)</f>
        <v>2.0958646616541374E-2</v>
      </c>
      <c r="AK97" s="68">
        <f>IF($Z$3="yes", 0.0000149450549450552/$X97, 0.0000149450549450552)</f>
        <v>1.8681318681318997E-2</v>
      </c>
      <c r="AL97" s="68">
        <f>IF($Z$3="yes", -0.0000250000000000016/$X97, -0.0000250000000000016)</f>
        <v>-3.1250000000001998E-2</v>
      </c>
      <c r="AM97" s="68">
        <f>IF($Z$3="yes", 0.000260499999999999/$X97, 0.000260499999999999)</f>
        <v>0.32562499999999878</v>
      </c>
      <c r="AN97" s="68">
        <f>IF($Z$3="yes", 0.0002715/$X97, 0.0002715)</f>
        <v>0.33937499999999998</v>
      </c>
      <c r="AO97" s="68">
        <f>IF($Z$3="yes", 0.0002355/$X97, 0.0002355)</f>
        <v>0.294375</v>
      </c>
      <c r="AP97" s="68">
        <f>IF($Z$3="yes", 0.000336499999999999/$X97, 0.000336499999999999)</f>
        <v>0.42062499999999875</v>
      </c>
      <c r="AQ97" s="68">
        <f>IF($Z$3="yes", 0.000388642857142856/$X97, 0.000388642857142856)</f>
        <v>0.48580357142857</v>
      </c>
      <c r="AR97" s="68">
        <f>IF($Z$3="yes", 0.000468999999999999/$X97, 0.000468999999999999)</f>
        <v>0.58624999999999872</v>
      </c>
      <c r="AS97" s="68">
        <f>IF($Z$3="yes", 0.0000110000000000016/$X97, 0.0000110000000000016)</f>
        <v>1.3750000000002E-2</v>
      </c>
      <c r="AT97" s="68">
        <f>IF($Z$3="yes", 0.0000249999999999984/$X97, 0.0000249999999999984)</f>
        <v>3.1249999999997998E-2</v>
      </c>
      <c r="AU97" s="88">
        <f>IF($Z$3="yes", 0.0000760000000000003/$X97, 0.0000760000000000003)</f>
        <v>9.5000000000000376E-2</v>
      </c>
      <c r="AV97" s="88">
        <f>IF($Z$3="yes", 0.000128142857142857/$X97, 0.000128142857142857)</f>
        <v>0.16017857142857123</v>
      </c>
      <c r="AW97" s="88">
        <f>IF($Z$3="yes", 0.0002085/$X97, 0.0002085)</f>
        <v>0.260625</v>
      </c>
      <c r="AX97" s="88">
        <f>IF($Z$3="yes", 0.0000360000000000001/$X97, 0.0000360000000000001)</f>
        <v>4.5000000000000123E-2</v>
      </c>
      <c r="AY97" s="88">
        <f>IF($Z$3="yes", 0.000100999999999998/$X97, 0.000100999999999998)</f>
        <v>0.12624999999999748</v>
      </c>
      <c r="AZ97" s="88">
        <f>IF($Z$3="yes", 0.000153142857142855/$X97, 0.000153142857142855)</f>
        <v>0.19142857142856876</v>
      </c>
      <c r="BA97" s="88">
        <f>IF($Z$3="yes", 0.000233499999999999/$X97, 0.000233499999999999)</f>
        <v>0.29187499999999872</v>
      </c>
      <c r="BB97" s="88">
        <f>IF($Z$3="yes", 0.0000649999999999986/$X97, 0.0000649999999999986)</f>
        <v>8.124999999999824E-2</v>
      </c>
      <c r="BC97" s="88">
        <f>IF($Z$3="yes", 0.000117142857142855/$X97, 0.000117142857142855)</f>
        <v>0.14642857142856874</v>
      </c>
      <c r="BD97" s="88">
        <f>IF($Z$3="yes", 0.000197499999999999/$X97, 0.000197499999999999)</f>
        <v>0.24687499999999873</v>
      </c>
      <c r="BE97" s="88">
        <f>IF($Z$3="yes", 0.000052142857142857/$X97, 0.000052142857142857)</f>
        <v>6.5178571428571253E-2</v>
      </c>
      <c r="BF97" s="88">
        <f>IF($Z$3="yes", 0.0001325/$X97, 0.0001325)</f>
        <v>0.16562499999999999</v>
      </c>
      <c r="BG97" s="88">
        <f>IF($Z$3="yes", 0.0000803571428571433/$X97, 0.0000803571428571433)</f>
        <v>0.10044642857142912</v>
      </c>
      <c r="BH97" s="88">
        <f>IF($Z$3="yes", 0.000221010204081632/$X97, 0.000221010204081632)</f>
        <v>0.27626275510203996</v>
      </c>
      <c r="BI97" s="68"/>
      <c r="BJ97" s="68"/>
      <c r="BK97" s="68">
        <f>IF($BL$3="yes", MAX(0, (33952520 - 111393748.4) / 69551214.4177963), 111393748.4)</f>
        <v>111393748.40000001</v>
      </c>
      <c r="BL97" s="68">
        <f>IF($BL$3="yes", MAX(0, (33952520 - 321623033.6) / 292774831.155922), 321623033.6)</f>
        <v>321623033.60000002</v>
      </c>
      <c r="BM97" s="68">
        <f>IF($BL$3="yes", MAX(0, (33952520 - 192287873.65) / 246262780.748468), 192287873.65)</f>
        <v>192287873.65000001</v>
      </c>
      <c r="BN97" s="68">
        <f>IF($BL$3="yes", MAX(0, (33952520 - 153615638.02) / 215160477.307199), 153615638.02)</f>
        <v>153615638.02000001</v>
      </c>
      <c r="BO97" s="68">
        <f>IF($BL$3="yes", MAX(0, (33952520 - 167551174.82) / 213159441.280748), 167551174.82)</f>
        <v>167551174.81999999</v>
      </c>
      <c r="BP97" s="68">
        <f>IF($BL$3="yes", MAX(0, (33952520 - 97748529.88) / 178450639.196679), 97748529.88)</f>
        <v>97748529.879999995</v>
      </c>
      <c r="BQ97" s="68">
        <v>53.417268892263607</v>
      </c>
      <c r="BR97" s="68"/>
      <c r="BS97" s="68"/>
      <c r="BT97" s="68">
        <v>256787290.26666641</v>
      </c>
      <c r="BU97" s="68">
        <v>-24746757.863446951</v>
      </c>
      <c r="BV97" s="68">
        <f>IF($Z$3="yes", 0.0002221864732959/$X97, 0.0002221864732959)</f>
        <v>0.27773309161987497</v>
      </c>
      <c r="BW97" s="68">
        <f>IF($Z$3="yes", 0.000216254124860203/$X97, 0.000216254124860203)</f>
        <v>0.27031765607525371</v>
      </c>
      <c r="BX97" s="68">
        <f>$BW$261 - $BV$261</f>
        <v>2.3517670112449721E-2</v>
      </c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81"/>
      <c r="CR97" s="81"/>
      <c r="CS97" s="68"/>
      <c r="CT97" s="68"/>
      <c r="CU97" s="68"/>
    </row>
    <row r="98" spans="1:99" ht="15.75" customHeight="1" thickBot="1" x14ac:dyDescent="0.3">
      <c r="A98" s="84"/>
      <c r="B98" s="67" t="s">
        <v>181</v>
      </c>
      <c r="C98" s="83" t="s">
        <v>378</v>
      </c>
      <c r="D98" s="67" t="s">
        <v>379</v>
      </c>
      <c r="E98" s="67">
        <v>1</v>
      </c>
      <c r="F98" s="85">
        <v>6.9999999999999999E-4</v>
      </c>
      <c r="G98" s="313">
        <v>44340</v>
      </c>
      <c r="H98" s="317">
        <v>4.0000000000000002E-4</v>
      </c>
      <c r="I98" s="317">
        <v>8.0000000000000004E-4</v>
      </c>
      <c r="J98" s="313">
        <v>44371</v>
      </c>
      <c r="K98" s="100">
        <f t="shared" si="4"/>
        <v>-0.42857142857142849</v>
      </c>
      <c r="L98" s="137">
        <f t="shared" si="5"/>
        <v>0.14285714285714302</v>
      </c>
      <c r="M98" s="312">
        <v>44407</v>
      </c>
      <c r="N98" s="68"/>
      <c r="O98" s="68">
        <v>8909020776</v>
      </c>
      <c r="P98" s="68"/>
      <c r="Q98" s="68">
        <v>31</v>
      </c>
      <c r="R98" s="68"/>
      <c r="S98" s="68" t="s">
        <v>148</v>
      </c>
      <c r="T98" s="68"/>
      <c r="U98" s="68">
        <v>168</v>
      </c>
      <c r="V98" s="68">
        <v>44900358</v>
      </c>
      <c r="W98" s="68"/>
      <c r="X98" s="68">
        <v>6.9999999999999999E-4</v>
      </c>
      <c r="Y98" s="68">
        <v>4.0249999999999981E-4</v>
      </c>
      <c r="Z98" s="68">
        <v>7.2399999999999884E-4</v>
      </c>
      <c r="AA98" s="68">
        <v>8.0000000000000004E-4</v>
      </c>
      <c r="AB98" s="68">
        <v>8.079999999999998E-4</v>
      </c>
      <c r="AC98" s="68">
        <v>7.7999999999999944E-4</v>
      </c>
      <c r="AD98" s="68">
        <v>7.5714285714285705E-4</v>
      </c>
      <c r="AE98" s="68">
        <v>7.7499999999999986E-4</v>
      </c>
      <c r="AF98" s="68">
        <f>IF($Z$3="yes", 5.46291157278932E-06/$X98, 5.46291157278932E-06)</f>
        <v>7.8041593896990289E-3</v>
      </c>
      <c r="AG98" s="68">
        <f>IF($Z$3="yes", 4.71527152715276E-06/$X98, 4.71527152715276E-06)</f>
        <v>6.7361021816467999E-3</v>
      </c>
      <c r="AH98" s="68">
        <f>IF($Z$3="yes", -0.0000010276110444178/$X98, -0.0000010276110444178)</f>
        <v>-1.4680157777397142E-3</v>
      </c>
      <c r="AI98" s="68">
        <f>IF($Z$3="yes", 1.92076830732391E-08/$X98, 1.92076830732391E-08)</f>
        <v>2.7439547247484432E-5</v>
      </c>
      <c r="AJ98" s="68">
        <f>IF($Z$3="yes", -4.21052631578907E-06/$X98, -4.21052631578907E-06)</f>
        <v>-6.015037593984386E-3</v>
      </c>
      <c r="AK98" s="68">
        <f>IF($Z$3="yes", 2.19780219780279E-06/$X98, 2.19780219780279E-06)</f>
        <v>3.1397174254325574E-3</v>
      </c>
      <c r="AL98" s="68">
        <f>IF($Z$3="yes", -7.14285714285842E-06/$X98, -7.14285714285842E-06)</f>
        <v>-1.0204081632654885E-2</v>
      </c>
      <c r="AM98" s="68">
        <f>IF($Z$3="yes", 0.000321499999999999/$X98, 0.000321499999999999)</f>
        <v>0.45928571428571285</v>
      </c>
      <c r="AN98" s="68">
        <f>IF($Z$3="yes", 0.0003975/$X98, 0.0003975)</f>
        <v>0.56785714285714284</v>
      </c>
      <c r="AO98" s="68">
        <f>IF($Z$3="yes", 0.0004055/$X98, 0.0004055)</f>
        <v>0.57928571428571429</v>
      </c>
      <c r="AP98" s="68">
        <f>IF($Z$3="yes", 0.000377499999999999/$X98, 0.000377499999999999)</f>
        <v>0.53928571428571281</v>
      </c>
      <c r="AQ98" s="68">
        <f>IF($Z$3="yes", 0.000354642857142857/$X98, 0.000354642857142857)</f>
        <v>0.50663265306122429</v>
      </c>
      <c r="AR98" s="68">
        <f>IF($Z$3="yes", 0.0003725/$X98, 0.0003725)</f>
        <v>0.53214285714285714</v>
      </c>
      <c r="AS98" s="68">
        <f>IF($Z$3="yes", 0.0000760000000000012/$X98, 0.0000760000000000012)</f>
        <v>0.10857142857143028</v>
      </c>
      <c r="AT98" s="68">
        <f>IF($Z$3="yes", 0.0000840000000000009/$X98, 0.0000840000000000009)</f>
        <v>0.12000000000000129</v>
      </c>
      <c r="AU98" s="88">
        <f>IF($Z$3="yes", 0.0000560000000000006/$X98, 0.0000560000000000006)</f>
        <v>8.0000000000000862E-2</v>
      </c>
      <c r="AV98" s="88">
        <f>IF($Z$3="yes", 0.0000331428571428582/$X98, 0.0000331428571428582)</f>
        <v>4.7346938775511715E-2</v>
      </c>
      <c r="AW98" s="88">
        <f>IF($Z$3="yes", 0.000051000000000001/$X98, 0.000051000000000001)</f>
        <v>7.2857142857144286E-2</v>
      </c>
      <c r="AX98" s="88">
        <f>IF($Z$3="yes", 7.99999999999976E-06/$X98, 7.99999999999976E-06)</f>
        <v>1.1428571428571087E-2</v>
      </c>
      <c r="AY98" s="88">
        <f>IF($Z$3="yes", 0.0000280000000000003/$X98, 0.0000280000000000003)</f>
        <v>4.0000000000000431E-2</v>
      </c>
      <c r="AZ98" s="88">
        <f>IF($Z$3="yes", 0.0000508571428571427/$X98, 0.0000508571428571427)</f>
        <v>7.2653061224489571E-2</v>
      </c>
      <c r="BA98" s="88">
        <f>IF($Z$3="yes", 0.0000329999999999999/$X98, 0.0000329999999999999)</f>
        <v>4.7142857142857E-2</v>
      </c>
      <c r="BB98" s="88">
        <f>IF($Z$3="yes", 0.0000200000000000005/$X98, 0.0000200000000000005)</f>
        <v>2.8571428571429285E-2</v>
      </c>
      <c r="BC98" s="88">
        <f>IF($Z$3="yes", 0.0000428571428571429/$X98, 0.0000428571428571429)</f>
        <v>6.1224489795918421E-2</v>
      </c>
      <c r="BD98" s="88">
        <f>IF($Z$3="yes", 0.0000250000000000001/$X98, 0.0000250000000000001)</f>
        <v>3.5714285714285858E-2</v>
      </c>
      <c r="BE98" s="88">
        <f>IF($Z$3="yes", 0.0000228571428571423/$X98, 0.0000228571428571423)</f>
        <v>3.2653061224489001E-2</v>
      </c>
      <c r="BF98" s="88">
        <f>IF($Z$3="yes", 4.99999999999957E-06/$X98, 4.99999999999957E-06)</f>
        <v>7.1428571428565285E-3</v>
      </c>
      <c r="BG98" s="88">
        <f>IF($Z$3="yes", 0.0000178571428571428/$X98, 0.0000178571428571428)</f>
        <v>2.5510204081632574E-2</v>
      </c>
      <c r="BH98" s="88">
        <f>IF($Z$3="yes", 0.000171231292517007/$X98, 0.000171231292517007)</f>
        <v>0.24461613216715286</v>
      </c>
      <c r="BI98" s="68"/>
      <c r="BJ98" s="68"/>
      <c r="BK98" s="68">
        <f>IF($BL$3="yes", MAX(0, (44900358 - 43906244) / 16884982.2316501), 43906244)</f>
        <v>43906244</v>
      </c>
      <c r="BL98" s="68">
        <f>IF($BL$3="yes", MAX(0, (44900358 - 126527280.3) / 170308537.823078), 126527280.3)</f>
        <v>126527280.3</v>
      </c>
      <c r="BM98" s="68">
        <f>IF($BL$3="yes", MAX(0, (44900358 - 121002762.75) / 156739827.533253), 121002762.75)</f>
        <v>121002762.75</v>
      </c>
      <c r="BN98" s="68">
        <f>IF($BL$3="yes", MAX(0, (44900358 - 132188862.08) / 140070771.705517), 132188862.08)</f>
        <v>132188862.08</v>
      </c>
      <c r="BO98" s="68">
        <f>IF($BL$3="yes", MAX(0, (44900358 - 332415245.36) / 465471354.425308), 332415245.36)</f>
        <v>332415245.36000001</v>
      </c>
      <c r="BP98" s="68">
        <f>IF($BL$3="yes", MAX(0, (44900358 - 201434376.09) / 416916127.911625), 201434376.09)</f>
        <v>201434376.09</v>
      </c>
      <c r="BQ98" s="68">
        <v>47.175724343848891</v>
      </c>
      <c r="BR98" s="68"/>
      <c r="BS98" s="68"/>
      <c r="BT98" s="68">
        <v>1816311031.333334</v>
      </c>
      <c r="BU98" s="68">
        <v>-5873954.572101593</v>
      </c>
      <c r="BV98" s="68">
        <f>IF($Z$3="yes", 0.000168076704338832/$X98, 0.000168076704338832)</f>
        <v>0.24010957762690285</v>
      </c>
      <c r="BW98" s="68">
        <f>IF($Z$3="yes", 0.000209316927191059/$X98, 0.000209316927191059)</f>
        <v>0.29902418170151285</v>
      </c>
      <c r="BX98" s="68">
        <f>$BW$262 - $BV$262</f>
        <v>1.1019380976089177E-3</v>
      </c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81"/>
      <c r="CR98" s="81"/>
      <c r="CS98" s="68"/>
      <c r="CT98" s="68"/>
      <c r="CU98" s="68"/>
    </row>
    <row r="99" spans="1:99" ht="15.75" customHeight="1" thickBot="1" x14ac:dyDescent="0.3">
      <c r="A99" s="84"/>
      <c r="B99" s="67" t="s">
        <v>181</v>
      </c>
      <c r="C99" s="83" t="s">
        <v>380</v>
      </c>
      <c r="D99" s="67" t="s">
        <v>381</v>
      </c>
      <c r="E99" s="67">
        <v>1</v>
      </c>
      <c r="F99" s="85">
        <v>4.0000000000000002E-4</v>
      </c>
      <c r="G99" s="313">
        <v>44340</v>
      </c>
      <c r="H99" s="317">
        <v>5.0000000000000001E-4</v>
      </c>
      <c r="I99" s="317">
        <v>8.9999999999999998E-4</v>
      </c>
      <c r="J99" s="313">
        <v>44343</v>
      </c>
      <c r="K99" s="144">
        <f t="shared" si="4"/>
        <v>0.25</v>
      </c>
      <c r="L99" s="145">
        <f t="shared" si="5"/>
        <v>1.25</v>
      </c>
      <c r="M99" s="312">
        <v>44407</v>
      </c>
      <c r="N99" s="68"/>
      <c r="O99" s="68">
        <v>9974145740</v>
      </c>
      <c r="P99" s="68"/>
      <c r="Q99" s="68">
        <v>3</v>
      </c>
      <c r="R99" s="68"/>
      <c r="S99" s="68" t="s">
        <v>157</v>
      </c>
      <c r="T99" s="68"/>
      <c r="U99" s="68">
        <v>48</v>
      </c>
      <c r="V99" s="68">
        <v>28294677</v>
      </c>
      <c r="W99" s="68"/>
      <c r="X99" s="68">
        <v>4.0000000000000002E-4</v>
      </c>
      <c r="Y99" s="68" t="e">
        <v>#N/A</v>
      </c>
      <c r="Z99" s="68">
        <v>6.9699999999999916E-4</v>
      </c>
      <c r="AA99" s="68">
        <v>7.1999999999999983E-4</v>
      </c>
      <c r="AB99" s="68">
        <v>8.5399999999999972E-4</v>
      </c>
      <c r="AC99" s="68">
        <v>5.350000000000001E-4</v>
      </c>
      <c r="AD99" s="68">
        <v>5.0000000000000012E-4</v>
      </c>
      <c r="AE99" s="68">
        <v>4.8750000000000019E-4</v>
      </c>
      <c r="AF99" s="68" t="e">
        <f>IF($Z$3="yes", #N/A/$X99, #N/A)</f>
        <v>#N/A</v>
      </c>
      <c r="AG99" s="68">
        <f>IF($Z$3="yes", 3.01530153015307E-06/$X99, 3.01530153015307E-06)</f>
        <v>7.5382538253826745E-3</v>
      </c>
      <c r="AH99" s="68">
        <f>IF($Z$3="yes", -0.0000127731092436973/$X99, -0.0000127731092436973)</f>
        <v>-3.1932773109243251E-2</v>
      </c>
      <c r="AI99" s="68">
        <f>IF($Z$3="yes", -0.0000143049219687874/$X99, -0.0000143049219687874)</f>
        <v>-3.5762304921968496E-2</v>
      </c>
      <c r="AJ99" s="68">
        <f>IF($Z$3="yes", -9.09774436090222E-06/$X99, -9.09774436090222E-06)</f>
        <v>-2.274436090225555E-2</v>
      </c>
      <c r="AK99" s="68">
        <f>IF($Z$3="yes", -0.0000048351648351643/$X99, -0.0000048351648351643)</f>
        <v>-1.2087912087910749E-2</v>
      </c>
      <c r="AL99" s="68">
        <f>IF($Z$3="yes", -0.000003571428571429/$X99, -0.000003571428571429)</f>
        <v>-8.9285714285725001E-3</v>
      </c>
      <c r="AM99" s="68"/>
      <c r="AN99" s="68"/>
      <c r="AO99" s="68"/>
      <c r="AP99" s="68"/>
      <c r="AQ99" s="68"/>
      <c r="AR99" s="68"/>
      <c r="AS99" s="68">
        <f>IF($Z$3="yes", 0.0000230000000000006/$X99, 0.0000230000000000006)</f>
        <v>5.7500000000001494E-2</v>
      </c>
      <c r="AT99" s="68">
        <f>IF($Z$3="yes", 0.000157/$X99, 0.000157)</f>
        <v>0.39249999999999996</v>
      </c>
      <c r="AU99" s="88">
        <f>IF($Z$3="yes", 0.000161999999999999/$X99, 0.000161999999999999)</f>
        <v>0.40499999999999747</v>
      </c>
      <c r="AV99" s="88">
        <f>IF($Z$3="yes", 0.000196999999999999/$X99, 0.000196999999999999)</f>
        <v>0.49249999999999744</v>
      </c>
      <c r="AW99" s="88">
        <f>IF($Z$3="yes", 0.000209499999999998/$X99, 0.000209499999999998)</f>
        <v>0.52374999999999494</v>
      </c>
      <c r="AX99" s="88">
        <f>IF($Z$3="yes", 0.000133999999999999/$X99, 0.000133999999999999)</f>
        <v>0.33499999999999747</v>
      </c>
      <c r="AY99" s="88">
        <f>IF($Z$3="yes", 0.000318999999999999/$X99, 0.000318999999999999)</f>
        <v>0.79749999999999754</v>
      </c>
      <c r="AZ99" s="88">
        <f>IF($Z$3="yes", 0.000353999999999999/$X99, 0.000353999999999999)</f>
        <v>0.88499999999999746</v>
      </c>
      <c r="BA99" s="88">
        <f>IF($Z$3="yes", 0.000366499999999999/$X99, 0.000366499999999999)</f>
        <v>0.91624999999999746</v>
      </c>
      <c r="BB99" s="88">
        <f>IF($Z$3="yes", 0.000184999999999999/$X99, 0.000184999999999999)</f>
        <v>0.46249999999999747</v>
      </c>
      <c r="BC99" s="88">
        <f>IF($Z$3="yes", 0.000219999999999999/$X99, 0.000219999999999999)</f>
        <v>0.54999999999999749</v>
      </c>
      <c r="BD99" s="88">
        <f>IF($Z$3="yes", 0.000232499999999999/$X99, 0.000232499999999999)</f>
        <v>0.58124999999999749</v>
      </c>
      <c r="BE99" s="88">
        <f>IF($Z$3="yes", 0.0000349999999999999/$X99, 0.0000349999999999999)</f>
        <v>8.7499999999999745E-2</v>
      </c>
      <c r="BF99" s="88">
        <f>IF($Z$3="yes", 0.0000474999999999998/$X99, 0.0000474999999999998)</f>
        <v>0.11874999999999949</v>
      </c>
      <c r="BG99" s="88">
        <f>IF($Z$3="yes", 0.0000124999999999998/$X99, 0.0000124999999999998)</f>
        <v>3.12499999999995E-2</v>
      </c>
      <c r="BH99" s="88">
        <f>IF($Z$3="yes", 0.000173428571428571/$X99, 0.000173428571428571)</f>
        <v>0.4335714285714275</v>
      </c>
      <c r="BI99" s="68"/>
      <c r="BJ99" s="68"/>
      <c r="BK99" s="68">
        <f>IF($BL$3="yes", MAX(0, (28294677 - 149423573) / 174707281.093812), 149423573)</f>
        <v>149423573</v>
      </c>
      <c r="BL99" s="68">
        <f>IF($BL$3="yes", MAX(0, (28294677 - 103914052.2) / 132208972.333085), 103914052.2)</f>
        <v>103914052.2</v>
      </c>
      <c r="BM99" s="68">
        <f>IF($BL$3="yes", MAX(0, (28294677 - 101243650.4) / 98717688.4371347), 101243650.4)</f>
        <v>101243650.40000001</v>
      </c>
      <c r="BN99" s="68">
        <f>IF($BL$3="yes", MAX(0, (28294677 - 139020864.64) / 135851911.050991), 139020864.64)</f>
        <v>139020864.63999999</v>
      </c>
      <c r="BO99" s="68">
        <f>IF($BL$3="yes", MAX(0, (28294677 - 289194049.75) / 504914970.298567), 289194049.75)</f>
        <v>289194049.75</v>
      </c>
      <c r="BP99" s="68">
        <f>IF($BL$3="yes", MAX(0, (28294677 - 178791441.944134) / 405544291.850933), 178791441.944134)</f>
        <v>178791441.944134</v>
      </c>
      <c r="BQ99" s="68">
        <v>38.274050082383269</v>
      </c>
      <c r="BR99" s="68"/>
      <c r="BS99" s="68"/>
      <c r="BT99" s="68">
        <v>1006469498.666666</v>
      </c>
      <c r="BU99" s="68">
        <v>28382179.106320981</v>
      </c>
      <c r="BV99" s="68">
        <f>IF($Z$3="yes", 0.000176306326461274/$X99, 0.000176306326461274)</f>
        <v>0.44076581615318494</v>
      </c>
      <c r="BW99" s="68">
        <f>IF($Z$3="yes", 0.000263249479285817/$X99, 0.000263249479285817)</f>
        <v>0.65812369821454242</v>
      </c>
      <c r="BX99" s="68">
        <f>$BW$263 - $BV$263</f>
        <v>-3.1860458259566057E-2</v>
      </c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81"/>
      <c r="CR99" s="81"/>
      <c r="CS99" s="68"/>
      <c r="CT99" s="68"/>
      <c r="CU99" s="68"/>
    </row>
    <row r="100" spans="1:99" ht="15.75" customHeight="1" thickBot="1" x14ac:dyDescent="0.3">
      <c r="A100" s="84"/>
      <c r="B100" s="67" t="s">
        <v>181</v>
      </c>
      <c r="C100" s="83" t="s">
        <v>382</v>
      </c>
      <c r="D100" s="67" t="s">
        <v>383</v>
      </c>
      <c r="E100" s="67">
        <v>1</v>
      </c>
      <c r="F100" s="85">
        <v>5.0000000000000001E-4</v>
      </c>
      <c r="G100" s="313">
        <v>44340</v>
      </c>
      <c r="H100" s="317">
        <v>2.9999999999999997E-4</v>
      </c>
      <c r="I100" s="317">
        <v>8.0000000000000004E-4</v>
      </c>
      <c r="J100" s="313">
        <v>44341</v>
      </c>
      <c r="K100" s="100">
        <f t="shared" si="4"/>
        <v>-0.4</v>
      </c>
      <c r="L100" s="146">
        <f t="shared" si="5"/>
        <v>0.60000000000000009</v>
      </c>
      <c r="M100" s="312">
        <v>44407</v>
      </c>
      <c r="N100" s="68"/>
      <c r="O100" s="68">
        <v>6057804223</v>
      </c>
      <c r="P100" s="68"/>
      <c r="Q100" s="68">
        <v>1</v>
      </c>
      <c r="R100" s="68"/>
      <c r="S100" s="68" t="s">
        <v>135</v>
      </c>
      <c r="T100" s="68"/>
      <c r="U100" s="68">
        <v>172</v>
      </c>
      <c r="V100" s="68">
        <v>28394475</v>
      </c>
      <c r="W100" s="68"/>
      <c r="X100" s="68">
        <v>5.9999999999999995E-4</v>
      </c>
      <c r="Y100" s="68" t="e">
        <v>#N/A</v>
      </c>
      <c r="Z100" s="68">
        <v>5.5899999999999928E-4</v>
      </c>
      <c r="AA100" s="68">
        <v>5.2799999999999993E-4</v>
      </c>
      <c r="AB100" s="68">
        <v>5.1200000000000009E-4</v>
      </c>
      <c r="AC100" s="68">
        <v>5.6500000000000029E-4</v>
      </c>
      <c r="AD100" s="68">
        <v>5.9999999999999995E-4</v>
      </c>
      <c r="AE100" s="68">
        <v>5.9999999999999962E-4</v>
      </c>
      <c r="AF100" s="68" t="e">
        <f>IF($Z$3="yes", #N/A/$X100, #N/A)</f>
        <v>#N/A</v>
      </c>
      <c r="AG100" s="68">
        <f>IF($Z$3="yes", 6.12661266126601E-07/$X100, 6.12661266126601E-07)</f>
        <v>1.0211021102110019E-3</v>
      </c>
      <c r="AH100" s="68">
        <f>IF($Z$3="yes", 1.89195678271316E-06/$X100, 1.89195678271316E-06)</f>
        <v>3.1532613045219338E-3</v>
      </c>
      <c r="AI100" s="68">
        <f>IF($Z$3="yes", 5.7623049219731E-08/$X100, 5.7623049219731E-08)</f>
        <v>9.603841536621834E-5</v>
      </c>
      <c r="AJ100" s="68">
        <f>IF($Z$3="yes", 7.59398496240564E-06/$X100, 7.59398496240564E-06)</f>
        <v>1.2656641604009401E-2</v>
      </c>
      <c r="AK100" s="68">
        <f>IF($Z$3="yes", 8.79120879120852E-07/$X100, 8.79120879120852E-07)</f>
        <v>1.4652014652014201E-3</v>
      </c>
      <c r="AL100" s="68">
        <f>IF($Z$3="yes", -4.76190476190456E-06/$X100, -4.76190476190456E-06)</f>
        <v>-7.9365079365076013E-3</v>
      </c>
      <c r="AM100" s="68"/>
      <c r="AN100" s="68"/>
      <c r="AO100" s="68"/>
      <c r="AP100" s="68"/>
      <c r="AQ100" s="68"/>
      <c r="AR100" s="68"/>
      <c r="AS100" s="68">
        <f>IF($Z$3="yes", 0.0000309999999999993/$X100, 0.0000309999999999993)</f>
        <v>5.1666666666665501E-2</v>
      </c>
      <c r="AT100" s="68">
        <f>IF($Z$3="yes", 0.0000469999999999991/$X100, 0.0000469999999999991)</f>
        <v>7.8333333333331839E-2</v>
      </c>
      <c r="AU100" s="88">
        <f>IF($Z$3="yes", 6.00000000000101E-06/$X100, 6.00000000000101E-06)</f>
        <v>1.0000000000001685E-2</v>
      </c>
      <c r="AV100" s="88">
        <f>IF($Z$3="yes", 0.0000410000000000006/$X100, 0.0000410000000000006)</f>
        <v>6.8333333333334328E-2</v>
      </c>
      <c r="AW100" s="88">
        <f>IF($Z$3="yes", 0.0000410000000000003/$X100, 0.0000410000000000003)</f>
        <v>6.8333333333333843E-2</v>
      </c>
      <c r="AX100" s="88">
        <f>IF($Z$3="yes", 0.0000159999999999998/$X100, 0.0000159999999999998)</f>
        <v>2.6666666666666335E-2</v>
      </c>
      <c r="AY100" s="88">
        <f>IF($Z$3="yes", 0.0000530000000000002/$X100, 0.0000530000000000002)</f>
        <v>8.8333333333333666E-2</v>
      </c>
      <c r="AZ100" s="88">
        <f>IF($Z$3="yes", 0.0000879999999999998/$X100, 0.0000879999999999998)</f>
        <v>0.14666666666666633</v>
      </c>
      <c r="BA100" s="88">
        <f>IF($Z$3="yes", 0.0000879999999999995/$X100, 0.0000879999999999995)</f>
        <v>0.14666666666666583</v>
      </c>
      <c r="BB100" s="88">
        <f>IF($Z$3="yes", 0.0000370000000000003/$X100, 0.0000370000000000003)</f>
        <v>6.1666666666667175E-2</v>
      </c>
      <c r="BC100" s="88">
        <f>IF($Z$3="yes", 0.000072/$X100, 0.000072)</f>
        <v>0.12000000000000001</v>
      </c>
      <c r="BD100" s="88">
        <f>IF($Z$3="yes", 0.0000719999999999996/$X100, 0.0000719999999999996)</f>
        <v>0.11999999999999933</v>
      </c>
      <c r="BE100" s="88">
        <f>IF($Z$3="yes", 0.0000349999999999996/$X100, 0.0000349999999999996)</f>
        <v>5.8333333333332668E-2</v>
      </c>
      <c r="BF100" s="88">
        <f>IF($Z$3="yes", 0.0000349999999999993/$X100, 0.0000349999999999993)</f>
        <v>5.8333333333332169E-2</v>
      </c>
      <c r="BG100" s="88">
        <f>IF($Z$3="yes", 3.25260651745651E-19/$X100, 3.25260651745651E-19)</f>
        <v>5.4210108624275172E-16</v>
      </c>
      <c r="BH100" s="88">
        <f>IF($Z$3="yes", 0.0000886666666666666/$X100, 0.0000886666666666666)</f>
        <v>0.14777777777777767</v>
      </c>
      <c r="BI100" s="68"/>
      <c r="BJ100" s="68"/>
      <c r="BK100" s="68">
        <f>IF($BL$3="yes", MAX(0, (28394475 - 107726201.8) / 126641336.771619), 107726201.8)</f>
        <v>107726201.8</v>
      </c>
      <c r="BL100" s="68">
        <f>IF($BL$3="yes", MAX(0, (28394475 - 107429372.5) / 110030706.437463), 107429372.5)</f>
        <v>107429372.5</v>
      </c>
      <c r="BM100" s="68">
        <f>IF($BL$3="yes", MAX(0, (28394475 - 109236247.4) / 179863562.606738), 109236247.4)</f>
        <v>109236247.40000001</v>
      </c>
      <c r="BN100" s="68">
        <f>IF($BL$3="yes", MAX(0, (28394475 - 76811394) / 124247433.664992), 76811394)</f>
        <v>76811394</v>
      </c>
      <c r="BO100" s="68">
        <f>IF($BL$3="yes", MAX(0, (28394475 - 119686724.32) / 148565346.703901), 119686724.32)</f>
        <v>119686724.31999999</v>
      </c>
      <c r="BP100" s="68">
        <f>IF($BL$3="yes", MAX(0, (28394475 - 83900492.5585106) / 152846185.262096), 83900492.5585106)</f>
        <v>83900492.558510602</v>
      </c>
      <c r="BQ100" s="68">
        <v>53.767142475853532</v>
      </c>
      <c r="BR100" s="68"/>
      <c r="BS100" s="68"/>
      <c r="BT100" s="68">
        <v>678141392.99999976</v>
      </c>
      <c r="BU100" s="68">
        <v>67980153.401608467</v>
      </c>
      <c r="BV100" s="68">
        <f>IF($Z$3="yes", 0.000175105173524819/$X100, 0.000175105173524819)</f>
        <v>0.29184195587469836</v>
      </c>
      <c r="BW100" s="68">
        <f>IF($Z$3="yes", 0.000190322340280227/$X100, 0.000190322340280227)</f>
        <v>0.317203900467045</v>
      </c>
      <c r="BX100" s="68">
        <f>$BW$264 - $BV$264</f>
        <v>-2.4000416518126663E-2</v>
      </c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81"/>
      <c r="CR100" s="81"/>
      <c r="CS100" s="68"/>
      <c r="CT100" s="68"/>
      <c r="CU100" s="68"/>
    </row>
    <row r="101" spans="1:99" ht="15.75" customHeight="1" thickBot="1" x14ac:dyDescent="0.3">
      <c r="A101" s="84"/>
      <c r="B101" s="67" t="s">
        <v>181</v>
      </c>
      <c r="C101" s="83" t="s">
        <v>384</v>
      </c>
      <c r="D101" s="67" t="s">
        <v>385</v>
      </c>
      <c r="E101" s="67">
        <v>1</v>
      </c>
      <c r="F101" s="85">
        <v>1.1000000000000001E-3</v>
      </c>
      <c r="G101" s="313">
        <v>44340</v>
      </c>
      <c r="H101" s="317">
        <v>5.9999999999999995E-4</v>
      </c>
      <c r="I101" s="317">
        <v>2.0999999999999999E-3</v>
      </c>
      <c r="J101" s="313">
        <v>44351</v>
      </c>
      <c r="K101" s="125">
        <f t="shared" si="4"/>
        <v>-0.45454545454545459</v>
      </c>
      <c r="L101" s="147">
        <f t="shared" si="5"/>
        <v>0.90909090909090895</v>
      </c>
      <c r="M101" s="312">
        <v>44407</v>
      </c>
      <c r="N101" s="68"/>
      <c r="O101" s="68">
        <v>3225452745</v>
      </c>
      <c r="P101" s="68"/>
      <c r="Q101" s="68">
        <v>11</v>
      </c>
      <c r="R101" s="68"/>
      <c r="S101" s="68" t="s">
        <v>220</v>
      </c>
      <c r="T101" s="68"/>
      <c r="U101" s="68">
        <v>212</v>
      </c>
      <c r="V101" s="68">
        <v>405941766</v>
      </c>
      <c r="W101" s="68"/>
      <c r="X101" s="68">
        <v>1.6000000000000001E-3</v>
      </c>
      <c r="Y101" s="68">
        <v>5.5300000000000043E-4</v>
      </c>
      <c r="Z101" s="68">
        <v>8.7700000000000213E-4</v>
      </c>
      <c r="AA101" s="68">
        <v>9.5199999999999972E-4</v>
      </c>
      <c r="AB101" s="68">
        <v>8.5600000000000021E-4</v>
      </c>
      <c r="AC101" s="68">
        <v>1.1100000000000001E-3</v>
      </c>
      <c r="AD101" s="68">
        <v>1.1071428571428571E-3</v>
      </c>
      <c r="AE101" s="68">
        <v>1.1375000000000001E-3</v>
      </c>
      <c r="AF101" s="68">
        <f>IF($Z$3="yes", 5.68019200480011E-06/$X101, 5.68019200480011E-06)</f>
        <v>3.5501200030000689E-3</v>
      </c>
      <c r="AG101" s="68">
        <f>IF($Z$3="yes", 4.80828082808254E-06/$X101, 4.80828082808254E-06)</f>
        <v>3.0051755175515872E-3</v>
      </c>
      <c r="AH101" s="68">
        <f>IF($Z$3="yes", 9.51740696278512E-06/$X101, 9.51740696278512E-06)</f>
        <v>5.9483793517407001E-3</v>
      </c>
      <c r="AI101" s="68">
        <f>IF($Z$3="yes", 0.0000099495798319327/$X101, 0.0000099495798319327)</f>
        <v>6.2184873949579379E-3</v>
      </c>
      <c r="AJ101" s="68">
        <f>IF($Z$3="yes", 6.31578947368391E-06/$X101, 6.31578947368391E-06)</f>
        <v>3.9473684210524435E-3</v>
      </c>
      <c r="AK101" s="68">
        <f>IF($Z$3="yes", 0.0000169230769230767/$X101, 0.0000169230769230767)</f>
        <v>1.0576923076922937E-2</v>
      </c>
      <c r="AL101" s="68">
        <f>IF($Z$3="yes", 0.000039285714285714/$X101, 0.000039285714285714)</f>
        <v>2.4553571428571248E-2</v>
      </c>
      <c r="AM101" s="68">
        <f>IF($Z$3="yes", 0.000324000000000001/$X101, 0.000324000000000001)</f>
        <v>0.2025000000000006</v>
      </c>
      <c r="AN101" s="68">
        <f>IF($Z$3="yes", 0.000398999999999999/$X101, 0.000398999999999999)</f>
        <v>0.24937499999999937</v>
      </c>
      <c r="AO101" s="68">
        <f>IF($Z$3="yes", 0.000302999999999999/$X101, 0.000302999999999999)</f>
        <v>0.18937499999999938</v>
      </c>
      <c r="AP101" s="68">
        <f>IF($Z$3="yes", 0.000556999999999999/$X101, 0.000556999999999999)</f>
        <v>0.34812499999999935</v>
      </c>
      <c r="AQ101" s="68">
        <f>IF($Z$3="yes", 0.000554142857142856/$X101, 0.000554142857142856)</f>
        <v>0.34633928571428502</v>
      </c>
      <c r="AR101" s="68">
        <f>IF($Z$3="yes", 0.000584499999999999/$X101, 0.000584499999999999)</f>
        <v>0.36531249999999932</v>
      </c>
      <c r="AS101" s="68">
        <f>IF($Z$3="yes", 0.0000749999999999976/$X101, 0.0000749999999999976)</f>
        <v>4.6874999999998494E-2</v>
      </c>
      <c r="AT101" s="68">
        <f>IF($Z$3="yes", 0.0000210000000000019/$X101, 0.0000210000000000019)</f>
        <v>1.3125000000001186E-2</v>
      </c>
      <c r="AU101" s="88">
        <f>IF($Z$3="yes", 0.000232999999999998/$X101, 0.000232999999999998)</f>
        <v>0.14562499999999873</v>
      </c>
      <c r="AV101" s="88">
        <f>IF($Z$3="yes", 0.000230142857142854/$X101, 0.000230142857142854)</f>
        <v>0.14383928571428375</v>
      </c>
      <c r="AW101" s="88">
        <f>IF($Z$3="yes", 0.000260499999999997/$X101, 0.000260499999999997)</f>
        <v>0.16281249999999811</v>
      </c>
      <c r="AX101" s="88">
        <f>IF($Z$3="yes", 0.0000959999999999995/$X101, 0.0000959999999999995)</f>
        <v>5.9999999999999686E-2</v>
      </c>
      <c r="AY101" s="88">
        <f>IF($Z$3="yes", 0.000254/$X101, 0.000254)</f>
        <v>0.15875</v>
      </c>
      <c r="AZ101" s="88">
        <f>IF($Z$3="yes", 0.000251142857142856/$X101, 0.000251142857142856)</f>
        <v>0.15696428571428497</v>
      </c>
      <c r="BA101" s="88">
        <f>IF($Z$3="yes", 0.000281499999999999/$X101, 0.000281499999999999)</f>
        <v>0.17593749999999936</v>
      </c>
      <c r="BB101" s="88">
        <f>IF($Z$3="yes", 0.000158/$X101, 0.000158)</f>
        <v>9.8749999999999991E-2</v>
      </c>
      <c r="BC101" s="88">
        <f>IF($Z$3="yes", 0.000155142857142857/$X101, 0.000155142857142857)</f>
        <v>9.6964285714285628E-2</v>
      </c>
      <c r="BD101" s="88">
        <f>IF($Z$3="yes", 0.000185499999999999/$X101, 0.000185499999999999)</f>
        <v>0.11593749999999937</v>
      </c>
      <c r="BE101" s="88">
        <f>IF($Z$3="yes", 0.0000028571428571432/$X101, 0.0000028571428571432)</f>
        <v>1.7857142857144999E-3</v>
      </c>
      <c r="BF101" s="88">
        <f>IF($Z$3="yes", 0.0000274999999999993/$X101, 0.0000274999999999993)</f>
        <v>1.7187499999999561E-2</v>
      </c>
      <c r="BG101" s="88">
        <f>IF($Z$3="yes", 0.0000303571428571425/$X101, 0.0000303571428571425)</f>
        <v>1.8973214285714062E-2</v>
      </c>
      <c r="BH101" s="88">
        <f>IF($Z$3="yes", 0.00030975850340136/$X101, 0.00030975850340136)</f>
        <v>0.19359906462585</v>
      </c>
      <c r="BI101" s="68"/>
      <c r="BJ101" s="68"/>
      <c r="BK101" s="68">
        <f>IF($BL$3="yes", MAX(0, (405941766 - 141119574.4) / 134499896.322934), 141119574.4)</f>
        <v>141119574.40000001</v>
      </c>
      <c r="BL101" s="68">
        <f>IF($BL$3="yes", MAX(0, (405941766 - 112871819.9) / 101426781.393836), 112871819.9)</f>
        <v>112871819.90000001</v>
      </c>
      <c r="BM101" s="68">
        <f>IF($BL$3="yes", MAX(0, (405941766 - 89108980.05) / 82868937.0299955), 89108980.05)</f>
        <v>89108980.049999997</v>
      </c>
      <c r="BN101" s="68">
        <f>IF($BL$3="yes", MAX(0, (405941766 - 49017993.42) / 66158403.8751546), 49017993.42)</f>
        <v>49017993.420000002</v>
      </c>
      <c r="BO101" s="68">
        <f>IF($BL$3="yes", MAX(0, (405941766 - 33172778.21) / 50861916.9961501), 33172778.21)</f>
        <v>33172778.210000001</v>
      </c>
      <c r="BP101" s="68">
        <f>IF($BL$3="yes", MAX(0, (405941766 - 20995687.53) / 42608733.5286881), 20995687.53)</f>
        <v>20995687.530000001</v>
      </c>
      <c r="BQ101" s="68">
        <v>63.422268837815437</v>
      </c>
      <c r="BR101" s="68"/>
      <c r="BS101" s="68"/>
      <c r="BT101" s="68">
        <v>392201910.96666688</v>
      </c>
      <c r="BU101" s="68">
        <v>61518845.551829219</v>
      </c>
      <c r="BV101" s="68">
        <f>IF($Z$3="yes", 0.000340688659458294/$X101, 0.000340688659458294)</f>
        <v>0.21293041216143371</v>
      </c>
      <c r="BW101" s="68">
        <f>IF($Z$3="yes", 0.000258571606479109/$X101, 0.000258571606479109)</f>
        <v>0.16160725404944312</v>
      </c>
      <c r="BX101" s="68">
        <f>$BW$265 - $BV$265</f>
        <v>9.9358224317941446E-2</v>
      </c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81"/>
      <c r="CR101" s="81"/>
      <c r="CS101" s="68"/>
      <c r="CT101" s="68"/>
      <c r="CU101" s="68"/>
    </row>
    <row r="102" spans="1:99" ht="15.75" customHeight="1" thickBot="1" x14ac:dyDescent="0.3">
      <c r="A102" s="84"/>
      <c r="B102" s="67" t="s">
        <v>181</v>
      </c>
      <c r="C102" s="83" t="s">
        <v>386</v>
      </c>
      <c r="D102" s="67" t="s">
        <v>387</v>
      </c>
      <c r="E102" s="67">
        <v>1</v>
      </c>
      <c r="F102" s="85">
        <v>1.1999999999999999E-3</v>
      </c>
      <c r="G102" s="313">
        <v>44340</v>
      </c>
      <c r="H102" s="317">
        <v>1.6000000000000001E-3</v>
      </c>
      <c r="I102" s="317">
        <v>5.3E-3</v>
      </c>
      <c r="J102" s="313">
        <v>44364</v>
      </c>
      <c r="K102" s="148">
        <f t="shared" si="4"/>
        <v>0.33333333333333348</v>
      </c>
      <c r="L102" s="149">
        <f t="shared" si="5"/>
        <v>3.416666666666667</v>
      </c>
      <c r="M102" s="312">
        <v>44407</v>
      </c>
      <c r="N102" s="68"/>
      <c r="O102" s="68">
        <v>4107559703</v>
      </c>
      <c r="P102" s="68"/>
      <c r="Q102" s="68">
        <v>24</v>
      </c>
      <c r="R102" s="68"/>
      <c r="S102" s="68" t="s">
        <v>157</v>
      </c>
      <c r="T102" s="68"/>
      <c r="U102" s="68">
        <v>88</v>
      </c>
      <c r="V102" s="68">
        <v>95416164</v>
      </c>
      <c r="W102" s="68"/>
      <c r="X102" s="68">
        <v>1.2999999999999999E-3</v>
      </c>
      <c r="Y102" s="68" t="e">
        <v>#N/A</v>
      </c>
      <c r="Z102" s="68">
        <v>1.123999999999998E-3</v>
      </c>
      <c r="AA102" s="68">
        <v>1.2099999999999999E-3</v>
      </c>
      <c r="AB102" s="68">
        <v>1.197999999999999E-3</v>
      </c>
      <c r="AC102" s="68">
        <v>1.2949999999999991E-3</v>
      </c>
      <c r="AD102" s="68">
        <v>1.2714285714285701E-3</v>
      </c>
      <c r="AE102" s="68">
        <v>1.2999999999999999E-3</v>
      </c>
      <c r="AF102" s="68" t="e">
        <f>IF($Z$3="yes", #N/A/$X102, #N/A)</f>
        <v>#N/A</v>
      </c>
      <c r="AG102" s="68">
        <f>IF($Z$3="yes", 5.58775877587778E-06/$X102, 5.58775877587778E-06)</f>
        <v>4.2982759814444464E-3</v>
      </c>
      <c r="AH102" s="68">
        <f>IF($Z$3="yes", 0.0000013301320528215/$X102, 0.0000013301320528215)</f>
        <v>1.0231785021703847E-3</v>
      </c>
      <c r="AI102" s="68">
        <f>IF($Z$3="yes", -1.41656662665024E-06/$X102, -1.41656662665024E-06)</f>
        <v>-1.0896666358848001E-3</v>
      </c>
      <c r="AJ102" s="68">
        <f>IF($Z$3="yes", -2.78195488721737E-06/$X102, -2.78195488721737E-06)</f>
        <v>-2.1399652978595154E-3</v>
      </c>
      <c r="AK102" s="68">
        <f>IF($Z$3="yes", 7.91208791208857E-06/$X102, 7.91208791208857E-06)</f>
        <v>6.0862214708373623E-3</v>
      </c>
      <c r="AL102" s="68">
        <f>IF($Z$3="yes", 2.38095238095013E-06/$X102, 2.38095238095013E-06)</f>
        <v>1.8315018315001002E-3</v>
      </c>
      <c r="AM102" s="68"/>
      <c r="AN102" s="68"/>
      <c r="AO102" s="68"/>
      <c r="AP102" s="68"/>
      <c r="AQ102" s="68"/>
      <c r="AR102" s="68"/>
      <c r="AS102" s="68">
        <f>IF($Z$3="yes", 0.0000860000000000016/$X102, 0.0000860000000000016)</f>
        <v>6.6153846153847395E-2</v>
      </c>
      <c r="AT102" s="68">
        <f>IF($Z$3="yes", 0.0000740000000000011/$X102, 0.0000740000000000011)</f>
        <v>5.692307692307777E-2</v>
      </c>
      <c r="AU102" s="88">
        <f>IF($Z$3="yes", 0.000171/$X102, 0.000171)</f>
        <v>0.13153846153846155</v>
      </c>
      <c r="AV102" s="88">
        <f>IF($Z$3="yes", 0.000147428571428571/$X102, 0.000147428571428571)</f>
        <v>0.11340659340659308</v>
      </c>
      <c r="AW102" s="88">
        <f>IF($Z$3="yes", 0.000176000000000002/$X102, 0.000176000000000002)</f>
        <v>0.13538461538461694</v>
      </c>
      <c r="AX102" s="88">
        <f>IF($Z$3="yes", 0.0000120000000000005/$X102, 0.0000120000000000005)</f>
        <v>9.230769230769615E-3</v>
      </c>
      <c r="AY102" s="88">
        <f>IF($Z$3="yes", 0.0000969999999999996/$X102, 0.0000969999999999996)</f>
        <v>7.461538461538432E-2</v>
      </c>
      <c r="AZ102" s="88">
        <f>IF($Z$3="yes", 0.0000734285714285706/$X102, 0.0000734285714285706)</f>
        <v>5.648351648351585E-2</v>
      </c>
      <c r="BA102" s="88">
        <f>IF($Z$3="yes", 0.000102/$X102, 0.000102)</f>
        <v>7.8461538461538471E-2</v>
      </c>
      <c r="BB102" s="88">
        <f>IF($Z$3="yes", 0.0000849999999999991/$X102, 0.0000849999999999991)</f>
        <v>6.5384615384614694E-2</v>
      </c>
      <c r="BC102" s="88">
        <f>IF($Z$3="yes", 0.0000614285714285701/$X102, 0.0000614285714285701)</f>
        <v>4.7252747252746238E-2</v>
      </c>
      <c r="BD102" s="88">
        <f>IF($Z$3="yes", 0.0000900000000000004/$X102, 0.0000900000000000004)</f>
        <v>6.923076923076954E-2</v>
      </c>
      <c r="BE102" s="88">
        <f>IF($Z$3="yes", 0.000023571428571429/$X102, 0.000023571428571429)</f>
        <v>1.8131868131868463E-2</v>
      </c>
      <c r="BF102" s="88">
        <f>IF($Z$3="yes", 5.00000000000131E-06/$X102, 5.00000000000131E-06)</f>
        <v>3.8461538461548538E-3</v>
      </c>
      <c r="BG102" s="88">
        <f>IF($Z$3="yes", 0.0000285714285714303/$X102, 0.0000285714285714303)</f>
        <v>2.1978021978023309E-2</v>
      </c>
      <c r="BH102" s="88">
        <f>IF($Z$3="yes", 0.000181136054421769/$X102, 0.000181136054421769)</f>
        <v>0.13933542647828384</v>
      </c>
      <c r="BI102" s="68"/>
      <c r="BJ102" s="68"/>
      <c r="BK102" s="68">
        <f>IF($BL$3="yes", MAX(0, (95416164 - 58799475.6) / 22870025.9610895), 58799475.6)</f>
        <v>58799475.600000001</v>
      </c>
      <c r="BL102" s="68">
        <f>IF($BL$3="yes", MAX(0, (95416164 - 55430612.2) / 23442812.0928128), 55430612.2)</f>
        <v>55430612.200000003</v>
      </c>
      <c r="BM102" s="68">
        <f>IF($BL$3="yes", MAX(0, (95416164 - 80001535.35) / 69252256.8532764), 80001535.35)</f>
        <v>80001535.349999994</v>
      </c>
      <c r="BN102" s="68">
        <f>IF($BL$3="yes", MAX(0, (95416164 - 88247744.62) / 113600208.931661), 88247744.62)</f>
        <v>88247744.620000005</v>
      </c>
      <c r="BO102" s="68">
        <f>IF($BL$3="yes", MAX(0, (95416164 - 147959826.69) / 205619867.664149), 147959826.69)</f>
        <v>147959826.69</v>
      </c>
      <c r="BP102" s="68">
        <f>IF($BL$3="yes", MAX(0, (95416164 - 135528401.972527) / 346189969.662223), 135528401.972527)</f>
        <v>135528401.972527</v>
      </c>
      <c r="BQ102" s="68">
        <v>53.392291917713443</v>
      </c>
      <c r="BR102" s="68"/>
      <c r="BS102" s="68"/>
      <c r="BT102" s="68">
        <v>576629743.07142806</v>
      </c>
      <c r="BU102" s="68">
        <v>54224771.797872722</v>
      </c>
      <c r="BV102" s="68">
        <f>IF($Z$3="yes", 0.000276890661018081/$X102, 0.000276890661018081)</f>
        <v>0.21299281616775462</v>
      </c>
      <c r="BW102" s="68">
        <f>IF($Z$3="yes", 0.000325139606179077/$X102, 0.000325139606179077)</f>
        <v>0.25010738936852078</v>
      </c>
      <c r="BX102" s="68">
        <f>$BW$266 - $BV$266</f>
        <v>1.6883627468278012E-2</v>
      </c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81"/>
      <c r="CR102" s="81"/>
      <c r="CS102" s="68"/>
      <c r="CT102" s="68"/>
      <c r="CU102" s="68"/>
    </row>
    <row r="103" spans="1:99" ht="15.75" customHeight="1" thickBot="1" x14ac:dyDescent="0.3">
      <c r="A103" s="84"/>
      <c r="B103" s="67" t="s">
        <v>181</v>
      </c>
      <c r="C103" s="83" t="s">
        <v>388</v>
      </c>
      <c r="D103" s="67" t="s">
        <v>389</v>
      </c>
      <c r="E103" s="67">
        <v>1</v>
      </c>
      <c r="F103" s="85">
        <v>1.1000000000000001E-3</v>
      </c>
      <c r="G103" s="313">
        <v>44337</v>
      </c>
      <c r="H103" s="317">
        <v>1E-3</v>
      </c>
      <c r="I103" s="317">
        <v>1.5E-3</v>
      </c>
      <c r="J103" s="313">
        <v>44364</v>
      </c>
      <c r="K103" s="152">
        <f t="shared" si="4"/>
        <v>-9.0909090909090939E-2</v>
      </c>
      <c r="L103" s="153">
        <f t="shared" si="5"/>
        <v>0.36363636363636354</v>
      </c>
      <c r="M103" s="312">
        <v>44407</v>
      </c>
      <c r="N103" s="68"/>
      <c r="O103" s="68">
        <v>3159275316</v>
      </c>
      <c r="P103" s="68"/>
      <c r="Q103" s="68">
        <v>27</v>
      </c>
      <c r="R103" s="68"/>
      <c r="S103" s="68" t="s">
        <v>281</v>
      </c>
      <c r="T103" s="68"/>
      <c r="U103" s="68">
        <v>76</v>
      </c>
      <c r="V103" s="68">
        <v>24438766</v>
      </c>
      <c r="W103" s="68"/>
      <c r="X103" s="68">
        <v>1.1999999999999999E-3</v>
      </c>
      <c r="Y103" s="68">
        <v>5.7400000000000018E-4</v>
      </c>
      <c r="Z103" s="68">
        <v>1.003999999999999E-3</v>
      </c>
      <c r="AA103" s="68">
        <v>1.1180000000000001E-3</v>
      </c>
      <c r="AB103" s="68">
        <v>1.08E-3</v>
      </c>
      <c r="AC103" s="68">
        <v>1.325E-3</v>
      </c>
      <c r="AD103" s="68">
        <v>1.2571428571428571E-3</v>
      </c>
      <c r="AE103" s="68">
        <v>1.1874999999999991E-3</v>
      </c>
      <c r="AF103" s="68">
        <f>IF($Z$3="yes", 7.52283807095176E-06/$X103, 7.52283807095176E-06)</f>
        <v>6.2690317257931335E-3</v>
      </c>
      <c r="AG103" s="68">
        <f>IF($Z$3="yes", 7.21272127212732E-06/$X103, 7.21272127212732E-06)</f>
        <v>6.0106010601061006E-3</v>
      </c>
      <c r="AH103" s="68">
        <f>IF($Z$3="yes", 0.0000112509003601439/$X103, 0.0000112509003601439)</f>
        <v>9.3757503001199172E-3</v>
      </c>
      <c r="AI103" s="68">
        <f>IF($Z$3="yes", 0.0000102184873949579/$X103, 0.0000102184873949579)</f>
        <v>8.5154061624649179E-3</v>
      </c>
      <c r="AJ103" s="68">
        <f>IF($Z$3="yes", -0.0000194736842105258/$X103, -0.0000194736842105258)</f>
        <v>-1.6228070175438168E-2</v>
      </c>
      <c r="AK103" s="68">
        <f>IF($Z$3="yes", -0.0000184615384615385/$X103, -0.0000184615384615385)</f>
        <v>-1.5384615384615417E-2</v>
      </c>
      <c r="AL103" s="68">
        <f>IF($Z$3="yes", -8.33333333333225E-06/$X103, -8.33333333333225E-06)</f>
        <v>-6.944444444443542E-3</v>
      </c>
      <c r="AM103" s="68">
        <f>IF($Z$3="yes", 0.000429999999999998/$X103, 0.000429999999999998)</f>
        <v>0.35833333333333167</v>
      </c>
      <c r="AN103" s="68">
        <f>IF($Z$3="yes", 0.000544/$X103, 0.000544)</f>
        <v>0.45333333333333337</v>
      </c>
      <c r="AO103" s="68">
        <f>IF($Z$3="yes", 0.000506/$X103, 0.000506)</f>
        <v>0.42166666666666675</v>
      </c>
      <c r="AP103" s="68">
        <f>IF($Z$3="yes", 0.000750999999999999/$X103, 0.000750999999999999)</f>
        <v>0.62583333333333246</v>
      </c>
      <c r="AQ103" s="68">
        <f>IF($Z$3="yes", 0.000683142857142856/$X103, 0.000683142857142856)</f>
        <v>0.5692857142857134</v>
      </c>
      <c r="AR103" s="68">
        <f>IF($Z$3="yes", 0.000613499999999999/$X103, 0.000613499999999999)</f>
        <v>0.51124999999999921</v>
      </c>
      <c r="AS103" s="68">
        <f>IF($Z$3="yes", 0.000114000000000001/$X103, 0.000114000000000001)</f>
        <v>9.5000000000000834E-2</v>
      </c>
      <c r="AT103" s="68">
        <f>IF($Z$3="yes", 0.0000760000000000012/$X103, 0.0000760000000000012)</f>
        <v>6.3333333333334338E-2</v>
      </c>
      <c r="AU103" s="88">
        <f>IF($Z$3="yes", 0.000321/$X103, 0.000321)</f>
        <v>0.26750000000000002</v>
      </c>
      <c r="AV103" s="88">
        <f>IF($Z$3="yes", 0.000253142857142857/$X103, 0.000253142857142857)</f>
        <v>0.21095238095238086</v>
      </c>
      <c r="AW103" s="88">
        <f>IF($Z$3="yes", 0.0001835/$X103, 0.0001835)</f>
        <v>0.15291666666666667</v>
      </c>
      <c r="AX103" s="88">
        <f>IF($Z$3="yes", 0.000038/$X103, 0.000038)</f>
        <v>3.1666666666666669E-2</v>
      </c>
      <c r="AY103" s="88">
        <f>IF($Z$3="yes", 0.000244999999999999/$X103, 0.000244999999999999)</f>
        <v>0.20416666666666586</v>
      </c>
      <c r="AZ103" s="88">
        <f>IF($Z$3="yes", 0.000177142857142856/$X103, 0.000177142857142856)</f>
        <v>0.14761904761904668</v>
      </c>
      <c r="BA103" s="88">
        <f>IF($Z$3="yes", 0.000107499999999999/$X103, 0.000107499999999999)</f>
        <v>8.9583333333332502E-2</v>
      </c>
      <c r="BB103" s="88">
        <f>IF($Z$3="yes", 0.000206999999999999/$X103, 0.000206999999999999)</f>
        <v>0.17249999999999918</v>
      </c>
      <c r="BC103" s="88">
        <f>IF($Z$3="yes", 0.000139142857142856/$X103, 0.000139142857142856)</f>
        <v>0.11595238095238</v>
      </c>
      <c r="BD103" s="88">
        <f>IF($Z$3="yes", 0.000069499999999999/$X103, 0.000069499999999999)</f>
        <v>5.7916666666665846E-2</v>
      </c>
      <c r="BE103" s="88">
        <f>IF($Z$3="yes", 0.0000678571428571431/$X103, 0.0000678571428571431)</f>
        <v>5.6547619047619256E-2</v>
      </c>
      <c r="BF103" s="88">
        <f>IF($Z$3="yes", 0.0001375/$X103, 0.0001375)</f>
        <v>0.11458333333333336</v>
      </c>
      <c r="BG103" s="88">
        <f>IF($Z$3="yes", 0.0000696428571428573/$X103, 0.0000696428571428573)</f>
        <v>5.803571428571442E-2</v>
      </c>
      <c r="BH103" s="88">
        <f>IF($Z$3="yes", 0.000343057823129251/$X103, 0.000343057823129251)</f>
        <v>0.28588151927437583</v>
      </c>
      <c r="BI103" s="68"/>
      <c r="BJ103" s="68"/>
      <c r="BK103" s="68">
        <f>IF($BL$3="yes", MAX(0, (24438766 - 22238038.2) / 10208193.7063957), 22238038.2)</f>
        <v>22238038.199999999</v>
      </c>
      <c r="BL103" s="68">
        <f>IF($BL$3="yes", MAX(0, (24438766 - 57543764.9) / 87887996.9423527), 57543764.9)</f>
        <v>57543764.899999999</v>
      </c>
      <c r="BM103" s="68">
        <f>IF($BL$3="yes", MAX(0, (24438766 - 51350740.8) / 66469264.3473123), 51350740.8)</f>
        <v>51350740.799999997</v>
      </c>
      <c r="BN103" s="68">
        <f>IF($BL$3="yes", MAX(0, (24438766 - 49205806.46) / 51188161.5330758), 49205806.46)</f>
        <v>49205806.460000001</v>
      </c>
      <c r="BO103" s="68">
        <f>IF($BL$3="yes", MAX(0, (24438766 - 90327053.88) / 117760793.291241), 90327053.88)</f>
        <v>90327053.879999995</v>
      </c>
      <c r="BP103" s="68">
        <f>IF($BL$3="yes", MAX(0, (24438766 - 78051142.1) / 224234828.977058), 78051142.1)</f>
        <v>78051142.099999994</v>
      </c>
      <c r="BQ103" s="68">
        <v>50.344612371997911</v>
      </c>
      <c r="BR103" s="68"/>
      <c r="BS103" s="68"/>
      <c r="BT103" s="68">
        <v>316507770.66666663</v>
      </c>
      <c r="BU103" s="68">
        <v>6051293.6679934859</v>
      </c>
      <c r="BV103" s="68">
        <f>IF($Z$3="yes", 0.000216914392456202/$X103, 0.000216914392456202)</f>
        <v>0.18076199371350168</v>
      </c>
      <c r="BW103" s="68">
        <f>IF($Z$3="yes", 0.000277432884013243/$X103, 0.000277432884013243)</f>
        <v>0.23119407001103587</v>
      </c>
      <c r="BX103" s="68">
        <f>$BW$256 - $BV$256</f>
        <v>-8.4632931525746025E-3</v>
      </c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81"/>
      <c r="CR103" s="81"/>
      <c r="CS103" s="68"/>
      <c r="CT103" s="68"/>
      <c r="CU103" s="68"/>
    </row>
    <row r="104" spans="1:99" ht="15.75" customHeight="1" thickBot="1" x14ac:dyDescent="0.3">
      <c r="A104" s="84"/>
      <c r="B104" s="67" t="s">
        <v>181</v>
      </c>
      <c r="C104" s="83" t="s">
        <v>390</v>
      </c>
      <c r="D104" s="67" t="s">
        <v>391</v>
      </c>
      <c r="E104" s="67">
        <v>1</v>
      </c>
      <c r="F104" s="85">
        <v>2.3E-3</v>
      </c>
      <c r="G104" s="313">
        <v>44337</v>
      </c>
      <c r="H104" s="317">
        <v>4.0000000000000001E-3</v>
      </c>
      <c r="I104" s="317">
        <v>6.1000000000000004E-3</v>
      </c>
      <c r="J104" s="313">
        <v>44356</v>
      </c>
      <c r="K104" s="154">
        <f t="shared" si="4"/>
        <v>0.73913043478260887</v>
      </c>
      <c r="L104" s="155">
        <f t="shared" si="5"/>
        <v>1.6521739130434785</v>
      </c>
      <c r="M104" s="312">
        <v>44407</v>
      </c>
      <c r="N104" s="68"/>
      <c r="O104" s="68">
        <v>3453679078</v>
      </c>
      <c r="P104" s="68"/>
      <c r="Q104" s="68">
        <v>19</v>
      </c>
      <c r="R104" s="68"/>
      <c r="S104" s="68"/>
      <c r="T104" s="68"/>
      <c r="U104" s="68">
        <v>32</v>
      </c>
      <c r="V104" s="68">
        <v>4506394</v>
      </c>
      <c r="W104" s="68"/>
      <c r="X104" s="68">
        <v>2.8E-3</v>
      </c>
      <c r="Y104" s="68" t="e">
        <v>#N/A</v>
      </c>
      <c r="Z104" s="68">
        <v>4.5489999999999984E-3</v>
      </c>
      <c r="AA104" s="68">
        <v>4.2460000000000041E-3</v>
      </c>
      <c r="AB104" s="68">
        <v>4.6840000000000041E-3</v>
      </c>
      <c r="AC104" s="68">
        <v>3.664999999999999E-3</v>
      </c>
      <c r="AD104" s="68">
        <v>3.4285714285714271E-3</v>
      </c>
      <c r="AE104" s="68">
        <v>3.3000000000000008E-3</v>
      </c>
      <c r="AF104" s="68" t="e">
        <f>IF($Z$3="yes", #N/A/$X104, #N/A)</f>
        <v>#N/A</v>
      </c>
      <c r="AG104" s="68">
        <f>IF($Z$3="yes", -5.09870987098684E-06/$X104, -5.09870987098684E-06)</f>
        <v>-1.8209678110667287E-3</v>
      </c>
      <c r="AH104" s="68">
        <f>IF($Z$3="yes", -0.0000458631452581044/$X104, -0.0000458631452581044)</f>
        <v>-1.6379694735037285E-2</v>
      </c>
      <c r="AI104" s="68">
        <f>IF($Z$3="yes", -0.0000449363745498207/$X104, -0.0000449363745498207)</f>
        <v>-1.6048705196364536E-2</v>
      </c>
      <c r="AJ104" s="68">
        <f>IF($Z$3="yes", -0.0000749624060150369/$X104, -0.0000749624060150369)</f>
        <v>-2.6772287862513181E-2</v>
      </c>
      <c r="AK104" s="68">
        <f>IF($Z$3="yes", -0.0000527472527472539/$X104, -0.0000527472527472539)</f>
        <v>-1.8838304552590678E-2</v>
      </c>
      <c r="AL104" s="68">
        <f>IF($Z$3="yes", -0.000116666666666662/$X104, -0.000116666666666662)</f>
        <v>-4.1666666666664999E-2</v>
      </c>
      <c r="AM104" s="68"/>
      <c r="AN104" s="68"/>
      <c r="AO104" s="68"/>
      <c r="AP104" s="68"/>
      <c r="AQ104" s="68"/>
      <c r="AR104" s="68"/>
      <c r="AS104" s="68">
        <f>IF($Z$3="yes", 0.000302999999999994/$X104, 0.000302999999999994)</f>
        <v>0.10821428571428357</v>
      </c>
      <c r="AT104" s="68">
        <f>IF($Z$3="yes", 0.000135000000000005/$X104, 0.000135000000000005)</f>
        <v>4.82142857142875E-2</v>
      </c>
      <c r="AU104" s="88">
        <f>IF($Z$3="yes", 0.000883999999999999/$X104, 0.000883999999999999)</f>
        <v>0.31571428571428539</v>
      </c>
      <c r="AV104" s="88">
        <f>IF($Z$3="yes", 0.00112042857142857/$X104, 0.00112042857142857)</f>
        <v>0.40015306122448929</v>
      </c>
      <c r="AW104" s="88">
        <f>IF($Z$3="yes", 0.00124899999999999/$X104, 0.00124899999999999)</f>
        <v>0.44607142857142495</v>
      </c>
      <c r="AX104" s="88">
        <f>IF($Z$3="yes", 0.000438/$X104, 0.000438)</f>
        <v>0.15642857142857144</v>
      </c>
      <c r="AY104" s="88">
        <f>IF($Z$3="yes", 0.001019/$X104, 0.001019)</f>
        <v>0.36392857142857143</v>
      </c>
      <c r="AZ104" s="88">
        <f>IF($Z$3="yes", 0.00125542857142857/$X104, 0.00125542857142857)</f>
        <v>0.44836734693877506</v>
      </c>
      <c r="BA104" s="88">
        <f>IF($Z$3="yes", 0.001384/$X104, 0.001384)</f>
        <v>0.49428571428571433</v>
      </c>
      <c r="BB104" s="88">
        <f>IF($Z$3="yes", 0.000581000000000005/$X104, 0.000581000000000005)</f>
        <v>0.20750000000000179</v>
      </c>
      <c r="BC104" s="88">
        <f>IF($Z$3="yes", 0.000817428571428577/$X104, 0.000817428571428577)</f>
        <v>0.29193877551020608</v>
      </c>
      <c r="BD104" s="88">
        <f>IF($Z$3="yes", 0.000946000000000002/$X104, 0.000946000000000002)</f>
        <v>0.33785714285714358</v>
      </c>
      <c r="BE104" s="88">
        <f>IF($Z$3="yes", 0.000236428571428572/$X104, 0.000236428571428572)</f>
        <v>8.4438775510204289E-2</v>
      </c>
      <c r="BF104" s="88">
        <f>IF($Z$3="yes", 0.000364999999999997/$X104, 0.000364999999999997)</f>
        <v>0.13035714285714178</v>
      </c>
      <c r="BG104" s="88">
        <f>IF($Z$3="yes", 0.000128571428571425/$X104, 0.000128571428571425)</f>
        <v>4.5918367346937501E-2</v>
      </c>
      <c r="BH104" s="88">
        <f>IF($Z$3="yes", 0.000837659863945579/$X104, 0.000837659863945579)</f>
        <v>0.29916423712342105</v>
      </c>
      <c r="BI104" s="68"/>
      <c r="BJ104" s="68"/>
      <c r="BK104" s="68">
        <f>IF($BL$3="yes", MAX(0, (4506394 - 4949833.2) / 2665617.48992772), 4949833.2)</f>
        <v>4949833.2</v>
      </c>
      <c r="BL104" s="68">
        <f>IF($BL$3="yes", MAX(0, (4506394 - 3262145) / 2736611.41494626), 3262145)</f>
        <v>3262145</v>
      </c>
      <c r="BM104" s="68">
        <f>IF($BL$3="yes", MAX(0, (4506394 - 2474140.7) / 2147724.15439157), 2474140.7)</f>
        <v>2474140.7000000002</v>
      </c>
      <c r="BN104" s="68">
        <f>IF($BL$3="yes", MAX(0, (4506394 - 2289995) / 2602708.17316453), 2289995)</f>
        <v>2289995</v>
      </c>
      <c r="BO104" s="68">
        <f>IF($BL$3="yes", MAX(0, (4506394 - 7124134.57) / 12061708.1772067), 7124134.57)</f>
        <v>7124134.5700000003</v>
      </c>
      <c r="BP104" s="68">
        <f>IF($BL$3="yes", MAX(0, (4506394 - 6916361.95) / 20142618.1803353), 6916361.95)</f>
        <v>6916361.9500000002</v>
      </c>
      <c r="BQ104" s="68">
        <v>37.226973991946743</v>
      </c>
      <c r="BR104" s="68"/>
      <c r="BS104" s="68"/>
      <c r="BT104" s="68">
        <v>19193474.679254081</v>
      </c>
      <c r="BU104" s="68">
        <v>-2180627.633397982</v>
      </c>
      <c r="BV104" s="68">
        <f>IF($Z$3="yes", 0.000805134174437475/$X104, 0.000805134174437475)</f>
        <v>0.28754791944195535</v>
      </c>
      <c r="BW104" s="68">
        <f>IF($Z$3="yes", 0.00124010020710136/$X104, 0.00124010020710136)</f>
        <v>0.44289293110762856</v>
      </c>
      <c r="BX104" s="68">
        <f>$BW$257 - $BV$257</f>
        <v>0</v>
      </c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81"/>
      <c r="CR104" s="81"/>
      <c r="CS104" s="68"/>
      <c r="CT104" s="68"/>
      <c r="CU104" s="68"/>
    </row>
    <row r="105" spans="1:99" ht="15.75" customHeight="1" thickBot="1" x14ac:dyDescent="0.3">
      <c r="A105" s="84"/>
      <c r="B105" s="67" t="s">
        <v>181</v>
      </c>
      <c r="C105" s="83" t="s">
        <v>392</v>
      </c>
      <c r="D105" s="67" t="s">
        <v>393</v>
      </c>
      <c r="E105" s="67">
        <v>1</v>
      </c>
      <c r="F105" s="85">
        <v>1.9E-3</v>
      </c>
      <c r="G105" s="313">
        <v>44337</v>
      </c>
      <c r="H105" s="317">
        <v>1.6000000000000001E-3</v>
      </c>
      <c r="I105" s="317">
        <v>2.8E-3</v>
      </c>
      <c r="J105" s="313">
        <v>44361</v>
      </c>
      <c r="K105" s="100">
        <f t="shared" si="4"/>
        <v>-0.1578947368421052</v>
      </c>
      <c r="L105" s="156">
        <f t="shared" si="5"/>
        <v>0.47368421052631571</v>
      </c>
      <c r="M105" s="312">
        <v>44407</v>
      </c>
      <c r="N105" s="68"/>
      <c r="O105" s="68">
        <v>7510223621</v>
      </c>
      <c r="P105" s="68"/>
      <c r="Q105" s="68">
        <v>24</v>
      </c>
      <c r="R105" s="68"/>
      <c r="S105" s="68" t="s">
        <v>220</v>
      </c>
      <c r="T105" s="68"/>
      <c r="U105" s="68">
        <v>96</v>
      </c>
      <c r="V105" s="68">
        <v>6208274</v>
      </c>
      <c r="W105" s="68"/>
      <c r="X105" s="68">
        <v>2.0999999999999999E-3</v>
      </c>
      <c r="Y105" s="68">
        <v>1.9940000000000031E-3</v>
      </c>
      <c r="Z105" s="68">
        <v>3.426000000000005E-3</v>
      </c>
      <c r="AA105" s="68">
        <v>2.7620000000000019E-3</v>
      </c>
      <c r="AB105" s="68">
        <v>3.034000000000002E-3</v>
      </c>
      <c r="AC105" s="68">
        <v>2.2599999999999999E-3</v>
      </c>
      <c r="AD105" s="68">
        <v>2.157142857142857E-3</v>
      </c>
      <c r="AE105" s="68">
        <v>2.0375000000000011E-3</v>
      </c>
      <c r="AF105" s="68">
        <f>IF($Z$3="yes", 0.0000200378009450235/$X105, 0.0000200378009450235)</f>
        <v>9.5418099738207134E-3</v>
      </c>
      <c r="AG105" s="68">
        <f>IF($Z$3="yes", -0.0000181530153015307/$X105, -0.0000181530153015307)</f>
        <v>-8.6442930007289056E-3</v>
      </c>
      <c r="AH105" s="68">
        <f>IF($Z$3="yes", -0.0000352701080432176/$X105, -0.0000352701080432176)</f>
        <v>-1.6795289544389334E-2</v>
      </c>
      <c r="AI105" s="68">
        <f>IF($Z$3="yes", -0.0000277695078031215/$X105, -0.0000277695078031215)</f>
        <v>-1.3223575144343573E-2</v>
      </c>
      <c r="AJ105" s="68">
        <f>IF($Z$3="yes", -0.0000330827067669168/$X105, -0.0000330827067669168)</f>
        <v>-1.5753669889008001E-2</v>
      </c>
      <c r="AK105" s="68">
        <f>IF($Z$3="yes", -0.000036923076923078/$X105, -0.000036923076923078)</f>
        <v>-1.7582417582418096E-2</v>
      </c>
      <c r="AL105" s="68">
        <f>IF($Z$3="yes", -5.95238095237798E-06/$X105, -5.95238095237798E-06)</f>
        <v>-2.8344671201799908E-3</v>
      </c>
      <c r="AM105" s="68">
        <f>IF($Z$3="yes", 0.001432/$X105, 0.001432)</f>
        <v>0.6819047619047619</v>
      </c>
      <c r="AN105" s="68">
        <f>IF($Z$3="yes", 0.000767999999999999/$X105, 0.000767999999999999)</f>
        <v>0.36571428571428527</v>
      </c>
      <c r="AO105" s="68">
        <f>IF($Z$3="yes", 0.00103999999999999/$X105, 0.00103999999999999)</f>
        <v>0.49523809523809048</v>
      </c>
      <c r="AP105" s="68">
        <f>IF($Z$3="yes", 0.000265999999999997/$X105, 0.000265999999999997)</f>
        <v>0.12666666666666523</v>
      </c>
      <c r="AQ105" s="68">
        <f>IF($Z$3="yes", 0.000163142857142854/$X105, 0.000163142857142854)</f>
        <v>7.768707482993048E-2</v>
      </c>
      <c r="AR105" s="68">
        <f>IF($Z$3="yes", 0.0000434999999999984/$X105, 0.0000434999999999984)</f>
        <v>2.0714285714284953E-2</v>
      </c>
      <c r="AS105" s="68">
        <f>IF($Z$3="yes", 0.000664000000000003/$X105, 0.000664000000000003)</f>
        <v>0.31619047619047763</v>
      </c>
      <c r="AT105" s="68">
        <f>IF($Z$3="yes", 0.000392000000000003/$X105, 0.000392000000000003)</f>
        <v>0.18666666666666812</v>
      </c>
      <c r="AU105" s="88">
        <f>IF($Z$3="yes", 0.001166/$X105, 0.001166)</f>
        <v>0.5552380952380952</v>
      </c>
      <c r="AV105" s="88">
        <f>IF($Z$3="yes", 0.00126885714285714/$X105, 0.00126885714285714)</f>
        <v>0.60421768707482859</v>
      </c>
      <c r="AW105" s="88">
        <f>IF($Z$3="yes", 0.0013885/$X105, 0.0013885)</f>
        <v>0.66119047619047622</v>
      </c>
      <c r="AX105" s="88">
        <f>IF($Z$3="yes", 0.000272/$X105, 0.000272)</f>
        <v>0.12952380952380954</v>
      </c>
      <c r="AY105" s="88">
        <f>IF($Z$3="yes", 0.000774000000000001/$X105, 0.000774000000000001)</f>
        <v>0.3685714285714291</v>
      </c>
      <c r="AZ105" s="88">
        <f>IF($Z$3="yes", 0.000876857142857144/$X105, 0.000876857142857144)</f>
        <v>0.41755102040816383</v>
      </c>
      <c r="BA105" s="88">
        <f>IF($Z$3="yes", 0.0009965/$X105, 0.0009965)</f>
        <v>0.47452380952380957</v>
      </c>
      <c r="BB105" s="88">
        <f>IF($Z$3="yes", 0.000502000000000001/$X105, 0.000502000000000001)</f>
        <v>0.23904761904761956</v>
      </c>
      <c r="BC105" s="88">
        <f>IF($Z$3="yes", 0.000604857142857144/$X105, 0.000604857142857144)</f>
        <v>0.28802721088435429</v>
      </c>
      <c r="BD105" s="88">
        <f>IF($Z$3="yes", 0.0007245/$X105, 0.0007245)</f>
        <v>0.34500000000000003</v>
      </c>
      <c r="BE105" s="88">
        <f>IF($Z$3="yes", 0.000102857142857142/$X105, 0.000102857142857142)</f>
        <v>4.8979591836734289E-2</v>
      </c>
      <c r="BF105" s="88">
        <f>IF($Z$3="yes", 0.000222499999999999/$X105, 0.000222499999999999)</f>
        <v>0.10595238095238049</v>
      </c>
      <c r="BG105" s="88">
        <f>IF($Z$3="yes", 0.000119642857142856/$X105, 0.000119642857142856)</f>
        <v>5.6972789115645718E-2</v>
      </c>
      <c r="BH105" s="88">
        <f>IF($Z$3="yes", 0.000751540816326531/$X105, 0.000751540816326531)</f>
        <v>0.35787657920311</v>
      </c>
      <c r="BI105" s="68"/>
      <c r="BJ105" s="68"/>
      <c r="BK105" s="68">
        <f>IF($BL$3="yes", MAX(0, (6208274 - 6160287.6) / 2203566.71361214), 6160287.6)</f>
        <v>6160287.5999999996</v>
      </c>
      <c r="BL105" s="68">
        <f>IF($BL$3="yes", MAX(0, (6208274 - 8189233.9) / 4035586.88535698), 8189233.9)</f>
        <v>8189233.9000000004</v>
      </c>
      <c r="BM105" s="68">
        <f>IF($BL$3="yes", MAX(0, (6208274 - 7660900.45) / 3800954.04660139), 7660900.45)</f>
        <v>7660900.4500000002</v>
      </c>
      <c r="BN105" s="68">
        <f>IF($BL$3="yes", MAX(0, (6208274 - 28720892.76) / 99222177.9202278), 28720892.76)</f>
        <v>28720892.760000002</v>
      </c>
      <c r="BO105" s="68">
        <f>IF($BL$3="yes", MAX(0, (6208274 - 65723205.43) / 164000222.227867), 65723205.43)</f>
        <v>65723205.43</v>
      </c>
      <c r="BP105" s="68">
        <f>IF($BL$3="yes", MAX(0, (6208274 - 75397608.435) / 175919389.940119), 75397608.435)</f>
        <v>75397608.435000002</v>
      </c>
      <c r="BQ105" s="68">
        <v>41.325271696985801</v>
      </c>
      <c r="BR105" s="68"/>
      <c r="BS105" s="68"/>
      <c r="BT105" s="68">
        <v>-68292368.766666591</v>
      </c>
      <c r="BU105" s="68">
        <v>1403744.002144739</v>
      </c>
      <c r="BV105" s="68">
        <f>IF($Z$3="yes", 0.000408065634499499/$X105, 0.000408065634499499)</f>
        <v>0.19431696880928526</v>
      </c>
      <c r="BW105" s="68">
        <f>IF($Z$3="yes", 0.000843594856636164/$X105, 0.000843594856636164)</f>
        <v>0.40171183649341147</v>
      </c>
      <c r="BX105" s="68">
        <f>$BW$258 - $BV$258</f>
        <v>-2.4922127872040206E-2</v>
      </c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81"/>
      <c r="CR105" s="81"/>
      <c r="CS105" s="68"/>
      <c r="CT105" s="68"/>
      <c r="CU105" s="68"/>
    </row>
    <row r="106" spans="1:99" ht="15.75" customHeight="1" thickBot="1" x14ac:dyDescent="0.3">
      <c r="A106" s="84"/>
      <c r="B106" s="67" t="s">
        <v>181</v>
      </c>
      <c r="C106" s="83" t="s">
        <v>394</v>
      </c>
      <c r="D106" s="67" t="s">
        <v>395</v>
      </c>
      <c r="E106" s="67">
        <v>2</v>
      </c>
      <c r="F106" s="85">
        <v>2.7000000000000001E-3</v>
      </c>
      <c r="G106" s="313">
        <v>44337</v>
      </c>
      <c r="H106" s="317">
        <v>2.0999999999999999E-3</v>
      </c>
      <c r="I106" s="317">
        <v>3.3999999999999998E-3</v>
      </c>
      <c r="J106" s="313">
        <v>44399</v>
      </c>
      <c r="K106" s="125">
        <f t="shared" si="4"/>
        <v>-0.22222222222222232</v>
      </c>
      <c r="L106" s="157">
        <f t="shared" si="5"/>
        <v>0.25925925925925908</v>
      </c>
      <c r="M106" s="312">
        <v>44407</v>
      </c>
      <c r="N106" s="68"/>
      <c r="O106" s="68">
        <v>1903792512</v>
      </c>
      <c r="P106" s="68"/>
      <c r="Q106" s="68">
        <v>62</v>
      </c>
      <c r="R106" s="68"/>
      <c r="S106" s="68" t="s">
        <v>148</v>
      </c>
      <c r="T106" s="68"/>
      <c r="U106" s="68">
        <v>488</v>
      </c>
      <c r="V106" s="68">
        <v>62020477</v>
      </c>
      <c r="W106" s="68"/>
      <c r="X106" s="68">
        <v>2.7000000000000001E-3</v>
      </c>
      <c r="Y106" s="68">
        <v>3.6204999999999992E-3</v>
      </c>
      <c r="Z106" s="68">
        <v>3.6419999999999998E-3</v>
      </c>
      <c r="AA106" s="68">
        <v>2.7820000000000028E-3</v>
      </c>
      <c r="AB106" s="68">
        <v>3.2260000000000032E-3</v>
      </c>
      <c r="AC106" s="68">
        <v>2.4849999999999998E-3</v>
      </c>
      <c r="AD106" s="68">
        <v>2.5857142857142849E-3</v>
      </c>
      <c r="AE106" s="68">
        <v>2.7750000000000001E-3</v>
      </c>
      <c r="AF106" s="68">
        <f>IF($Z$3="yes", -6.08947723693096E-06/$X106, -6.08947723693096E-06)</f>
        <v>-2.2553619396040591E-3</v>
      </c>
      <c r="AG106" s="68">
        <f>IF($Z$3="yes", -0.0000201116111611165/$X106, -0.0000201116111611165)</f>
        <v>-7.4487448744875928E-3</v>
      </c>
      <c r="AH106" s="68">
        <f>IF($Z$3="yes", -0.0000221032412965193/$X106, -0.0000221032412965193)</f>
        <v>-8.1863856653775179E-3</v>
      </c>
      <c r="AI106" s="68">
        <f>IF($Z$3="yes", -0.0000626410564225695/$X106, -0.0000626410564225695)</f>
        <v>-2.3200391267618331E-2</v>
      </c>
      <c r="AJ106" s="68">
        <f>IF($Z$3="yes", 0.0000370676691729324/$X106, 0.0000370676691729324)</f>
        <v>1.3728766360345333E-2</v>
      </c>
      <c r="AK106" s="68">
        <f>IF($Z$3="yes", 0.0000443956043956035/$X106, 0.0000443956043956035)</f>
        <v>1.6442816442816113E-2</v>
      </c>
      <c r="AL106" s="68">
        <f>IF($Z$3="yes", -0.0000119047619047592/$X106, -0.0000119047619047592)</f>
        <v>-4.4091710758367405E-3</v>
      </c>
      <c r="AM106" s="68">
        <f>IF($Z$3="yes", 0.0000215000000000015/$X106, 0.0000215000000000015)</f>
        <v>7.9629629629635167E-3</v>
      </c>
      <c r="AN106" s="68">
        <f>IF($Z$3="yes", 0.000838499999999995/$X106, 0.000838499999999995)</f>
        <v>0.3105555555555537</v>
      </c>
      <c r="AO106" s="68">
        <f>IF($Z$3="yes", 0.000394499999999995/$X106, 0.000394499999999995)</f>
        <v>0.14611111111110925</v>
      </c>
      <c r="AP106" s="68">
        <f>IF($Z$3="yes", 0.00113549999999999/$X106, 0.00113549999999999)</f>
        <v>0.42055555555555185</v>
      </c>
      <c r="AQ106" s="68">
        <f>IF($Z$3="yes", 0.00103478571428571/$X106, 0.00103478571428571)</f>
        <v>0.38325396825396668</v>
      </c>
      <c r="AR106" s="68">
        <f>IF($Z$3="yes", 0.000845499999999999/$X106, 0.000845499999999999)</f>
        <v>0.31314814814814779</v>
      </c>
      <c r="AS106" s="68">
        <f>IF($Z$3="yes", 0.000859999999999997/$X106, 0.000859999999999997)</f>
        <v>0.31851851851851742</v>
      </c>
      <c r="AT106" s="68">
        <f>IF($Z$3="yes", 0.000415999999999997/$X106, 0.000415999999999997)</f>
        <v>0.15407407407407295</v>
      </c>
      <c r="AU106" s="88">
        <f>IF($Z$3="yes", 0.001157/$X106, 0.001157)</f>
        <v>0.42851851851851852</v>
      </c>
      <c r="AV106" s="88">
        <f>IF($Z$3="yes", 0.00105628571428571/$X106, 0.00105628571428571)</f>
        <v>0.39121693121692958</v>
      </c>
      <c r="AW106" s="88">
        <f>IF($Z$3="yes", 0.000867/$X106, 0.000867)</f>
        <v>0.32111111111111112</v>
      </c>
      <c r="AX106" s="88">
        <f>IF($Z$3="yes", 0.000443999999999999/$X106, 0.000443999999999999)</f>
        <v>0.16444444444444406</v>
      </c>
      <c r="AY106" s="88">
        <f>IF($Z$3="yes", 0.000741000000000003/$X106, 0.000741000000000003)</f>
        <v>0.27444444444444555</v>
      </c>
      <c r="AZ106" s="88">
        <f>IF($Z$3="yes", 0.000640285714285717/$X106, 0.000640285714285717)</f>
        <v>0.23714285714285815</v>
      </c>
      <c r="BA106" s="88">
        <f>IF($Z$3="yes", 0.000451000000000003/$X106, 0.000451000000000003)</f>
        <v>0.16703703703703815</v>
      </c>
      <c r="BB106" s="88">
        <f>IF($Z$3="yes", 0.000297000000000003/$X106, 0.000297000000000003)</f>
        <v>0.1100000000000011</v>
      </c>
      <c r="BC106" s="88">
        <f>IF($Z$3="yes", 0.000196285714285717/$X106, 0.000196285714285717)</f>
        <v>7.2698412698413706E-2</v>
      </c>
      <c r="BD106" s="88">
        <f>IF($Z$3="yes", 7.00000000000353E-06/$X106, 7.00000000000353E-06)</f>
        <v>2.5925925925939001E-3</v>
      </c>
      <c r="BE106" s="88">
        <f>IF($Z$3="yes", 0.000100714285714285/$X106, 0.000100714285714285)</f>
        <v>3.7301587301587037E-2</v>
      </c>
      <c r="BF106" s="88">
        <f>IF($Z$3="yes", 0.000289999999999999/$X106, 0.000289999999999999)</f>
        <v>0.10740740740740704</v>
      </c>
      <c r="BG106" s="88">
        <f>IF($Z$3="yes", 0.000189285714285714/$X106, 0.000189285714285714)</f>
        <v>7.0105820105819991E-2</v>
      </c>
      <c r="BH106" s="88">
        <f>IF($Z$3="yes", 0.000784945578231292/$X106, 0.000784945578231292)</f>
        <v>0.29072058453010813</v>
      </c>
      <c r="BI106" s="68"/>
      <c r="BJ106" s="68"/>
      <c r="BK106" s="68">
        <f>IF($BL$3="yes", MAX(0, (62020477 - 117510236.2) / 117837669.962858), 117510236.2)</f>
        <v>117510236.2</v>
      </c>
      <c r="BL106" s="68">
        <f>IF($BL$3="yes", MAX(0, (62020477 - 77806665.6) / 97892687.5411533), 77806665.6)</f>
        <v>77806665.599999994</v>
      </c>
      <c r="BM106" s="68">
        <f>IF($BL$3="yes", MAX(0, (62020477 - 44991677.95) / 76962384.8083925), 44991677.95)</f>
        <v>44991677.950000003</v>
      </c>
      <c r="BN106" s="68">
        <f>IF($BL$3="yes", MAX(0, (62020477 - 34323135.08) / 52908092.6142312), 34323135.08)</f>
        <v>34323135.079999998</v>
      </c>
      <c r="BO106" s="68">
        <f>IF($BL$3="yes", MAX(0, (62020477 - 31812358.18) / 43048972.5097798), 31812358.18)</f>
        <v>31812358.18</v>
      </c>
      <c r="BP106" s="68">
        <f>IF($BL$3="yes", MAX(0, (62020477 - 23610880.85) / 35323612.3826475), 23610880.85)</f>
        <v>23610880.850000001</v>
      </c>
      <c r="BQ106" s="68">
        <v>52.110327031859512</v>
      </c>
      <c r="BR106" s="68"/>
      <c r="BS106" s="68"/>
      <c r="BT106" s="68">
        <v>-149554169.39743549</v>
      </c>
      <c r="BU106" s="68">
        <v>-62977209.234755501</v>
      </c>
      <c r="BV106" s="68">
        <f>IF($Z$3="yes", 0.000526028655760518/$X106, 0.000526028655760518)</f>
        <v>0.19482542805945111</v>
      </c>
      <c r="BW106" s="68">
        <f>IF($Z$3="yes", 0.00069743832725312/$X106, 0.00069743832725312)</f>
        <v>0.25831049157522962</v>
      </c>
      <c r="BX106" s="68">
        <f>$BW$259 - $BV$259</f>
        <v>-5.37508587855616E-3</v>
      </c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81"/>
      <c r="CR106" s="81"/>
      <c r="CS106" s="68"/>
      <c r="CT106" s="68"/>
      <c r="CU106" s="68"/>
    </row>
    <row r="107" spans="1:99" ht="15.75" customHeight="1" thickBot="1" x14ac:dyDescent="0.3">
      <c r="A107" s="84"/>
      <c r="B107" s="67" t="s">
        <v>128</v>
      </c>
      <c r="C107" s="83" t="s">
        <v>396</v>
      </c>
      <c r="D107" s="67" t="s">
        <v>397</v>
      </c>
      <c r="E107" s="67">
        <v>1</v>
      </c>
      <c r="F107" s="85">
        <v>8.23</v>
      </c>
      <c r="G107" s="313">
        <v>44336</v>
      </c>
      <c r="H107" s="317">
        <v>14.81</v>
      </c>
      <c r="I107" s="317">
        <v>42.5</v>
      </c>
      <c r="J107" s="313">
        <v>44386</v>
      </c>
      <c r="K107" s="142">
        <f t="shared" si="4"/>
        <v>0.79951397326852969</v>
      </c>
      <c r="L107" s="161">
        <f t="shared" si="5"/>
        <v>4.1640340218712026</v>
      </c>
      <c r="M107" s="312">
        <v>44407</v>
      </c>
      <c r="N107" s="68"/>
      <c r="O107" s="291">
        <v>3062850</v>
      </c>
      <c r="P107" s="291">
        <v>560000</v>
      </c>
      <c r="Q107" s="291">
        <v>50</v>
      </c>
      <c r="R107" s="68" t="s">
        <v>131</v>
      </c>
      <c r="S107" s="68" t="s">
        <v>281</v>
      </c>
      <c r="T107" s="68" t="s">
        <v>398</v>
      </c>
      <c r="U107" s="68">
        <v>260</v>
      </c>
      <c r="V107" s="68">
        <v>3103026</v>
      </c>
      <c r="W107" s="68"/>
      <c r="X107" s="68">
        <v>8.35</v>
      </c>
      <c r="Y107" s="68">
        <v>7.688500000000003</v>
      </c>
      <c r="Z107" s="68">
        <v>8.7755000000000045</v>
      </c>
      <c r="AA107" s="68">
        <v>9.0763999999999996</v>
      </c>
      <c r="AB107" s="68">
        <v>9.4283999999999981</v>
      </c>
      <c r="AC107" s="68">
        <v>8.2684999999999995</v>
      </c>
      <c r="AD107" s="68">
        <v>8.0914285714285707</v>
      </c>
      <c r="AE107" s="68">
        <v>8.0037500000000019</v>
      </c>
      <c r="AF107" s="68">
        <f>IF($Z$3="yes", 0.0183527638190954/$X107, 0.0183527638190954)</f>
        <v>2.1979357867180122E-3</v>
      </c>
      <c r="AG107" s="68">
        <f>IF($Z$3="yes", 0.010689648964896/$X107, 0.010689648964896)</f>
        <v>1.2801974808258683E-3</v>
      </c>
      <c r="AH107" s="68">
        <f>IF($Z$3="yes", -0.0635399759903959/$X107, -0.0635399759903959)</f>
        <v>-7.6095779629216653E-3</v>
      </c>
      <c r="AI107" s="68">
        <f>IF($Z$3="yes", -0.0459351740696273/$X107, -0.0459351740696273)</f>
        <v>-5.5012184514523716E-3</v>
      </c>
      <c r="AJ107" s="68">
        <f>IF($Z$3="yes", -0.0461278195488721/$X107, -0.0461278195488721)</f>
        <v>-5.5242897663319883E-3</v>
      </c>
      <c r="AK107" s="68">
        <f>IF($Z$3="yes", -0.0281318681318642/$X107, -0.0281318681318642)</f>
        <v>-3.3690860038160723E-3</v>
      </c>
      <c r="AL107" s="68">
        <f>IF($Z$3="yes", 0.0305952380952373/$X107, 0.0305952380952373)</f>
        <v>3.6641003706871021E-3</v>
      </c>
      <c r="AM107" s="68">
        <f>IF($Z$3="yes", 1.087/$X107, 1.087)</f>
        <v>0.13017964071856289</v>
      </c>
      <c r="AN107" s="68">
        <f>IF($Z$3="yes", 1.38789999999999/$X107, 1.38789999999999)</f>
        <v>0.16621556886227426</v>
      </c>
      <c r="AO107" s="68">
        <f>IF($Z$3="yes", 1.73989999999999/$X107, 1.73989999999999)</f>
        <v>0.20837125748502874</v>
      </c>
      <c r="AP107" s="68">
        <f>IF($Z$3="yes", 0.579999999999996/$X107, 0.579999999999996)</f>
        <v>6.9461077844310895E-2</v>
      </c>
      <c r="AQ107" s="68">
        <f>IF($Z$3="yes", 0.402928571428567/$X107, 0.402928571428567)</f>
        <v>4.8254918733960116E-2</v>
      </c>
      <c r="AR107" s="68">
        <f>IF($Z$3="yes", 0.315249999999998/$X107, 0.315249999999998)</f>
        <v>3.7754491017963833E-2</v>
      </c>
      <c r="AS107" s="68">
        <f>IF($Z$3="yes", 0.300899999999995/$X107, 0.300899999999995)</f>
        <v>3.6035928143711982E-2</v>
      </c>
      <c r="AT107" s="68">
        <f>IF($Z$3="yes", 0.652899999999993/$X107, 0.652899999999993)</f>
        <v>7.8191616766466229E-2</v>
      </c>
      <c r="AU107" s="88">
        <f>IF($Z$3="yes", 0.507000000000005/$X107, 0.507000000000005)</f>
        <v>6.0718562874252098E-2</v>
      </c>
      <c r="AV107" s="88">
        <f>IF($Z$3="yes", 0.684071428571433/$X107, 0.684071428571433)</f>
        <v>8.1924721984602752E-2</v>
      </c>
      <c r="AW107" s="88">
        <f>IF($Z$3="yes", 0.771750000000002/$X107, 0.771750000000002)</f>
        <v>9.2425149700599049E-2</v>
      </c>
      <c r="AX107" s="88">
        <f>IF($Z$3="yes", 0.351999999999998/$X107, 0.351999999999998)</f>
        <v>4.2155688622754248E-2</v>
      </c>
      <c r="AY107" s="88">
        <f>IF($Z$3="yes", 1.15989999999999/$X107, 1.15989999999999)</f>
        <v>0.13891017964071736</v>
      </c>
      <c r="AZ107" s="88">
        <f>IF($Z$3="yes", 1.33697142857142/$X107, 1.33697142857142)</f>
        <v>0.16011633875106829</v>
      </c>
      <c r="BA107" s="88">
        <f>IF($Z$3="yes", 1.42464999999999/$X107, 1.42464999999999)</f>
        <v>0.17061676646706467</v>
      </c>
      <c r="BB107" s="88">
        <f>IF($Z$3="yes", 0.8079/$X107, 0.8079)</f>
        <v>9.6754491017964073E-2</v>
      </c>
      <c r="BC107" s="88">
        <f>IF($Z$3="yes", 0.984971428571428/$X107, 0.984971428571428)</f>
        <v>0.11796065012831475</v>
      </c>
      <c r="BD107" s="88">
        <f>IF($Z$3="yes", 1.07264999999999/$X107, 1.07264999999999)</f>
        <v>0.12846107784431018</v>
      </c>
      <c r="BE107" s="88">
        <f>IF($Z$3="yes", 0.177071428571428/$X107, 0.177071428571428)</f>
        <v>2.1206159110350658E-2</v>
      </c>
      <c r="BF107" s="88">
        <f>IF($Z$3="yes", 0.264749999999997/$X107, 0.264749999999997)</f>
        <v>3.1706586826346944E-2</v>
      </c>
      <c r="BG107" s="88">
        <f>IF($Z$3="yes", 0.0876785714285688/$X107, 0.0876785714285688)</f>
        <v>1.0500427715996264E-2</v>
      </c>
      <c r="BH107" s="88">
        <f>IF($Z$3="yes", 1.41516292517006/$X107, 1.41516292517006)</f>
        <v>0.16948058984072575</v>
      </c>
      <c r="BI107" s="68"/>
      <c r="BJ107" s="68"/>
      <c r="BK107" s="68">
        <f>IF($BL$3="yes", MAX(0, (3103026 - 704274.8) / 1199891.53101393), 704274.8)</f>
        <v>704274.8</v>
      </c>
      <c r="BL107" s="68">
        <f>IF($BL$3="yes", MAX(0, (3103026 - 426975.7) / 901847.408936351), 426975.7)</f>
        <v>426975.7</v>
      </c>
      <c r="BM107" s="68">
        <f>IF($BL$3="yes", MAX(0, (3103026 - 254151.15) / 661987.29671492), 254151.15)</f>
        <v>254151.15</v>
      </c>
      <c r="BN107" s="68">
        <f>IF($BL$3="yes", MAX(0, (3103026 - 200949.82) / 438649.03224148), 200949.82)</f>
        <v>200949.82</v>
      </c>
      <c r="BO107" s="68">
        <f>IF($BL$3="yes", MAX(0, (3103026 - 406729.29) / 643835.309525724), 406729.29)</f>
        <v>406729.29</v>
      </c>
      <c r="BP107" s="68">
        <f>IF($BL$3="yes", MAX(0, (3103026 - 546403.14) / 1027430.58485399), 546403.14)</f>
        <v>546403.14</v>
      </c>
      <c r="BQ107" s="68">
        <v>50.135456492960628</v>
      </c>
      <c r="BR107" s="68"/>
      <c r="BS107" s="68"/>
      <c r="BT107" s="68">
        <v>-424572.70995875902</v>
      </c>
      <c r="BU107" s="68">
        <v>33277.947968582223</v>
      </c>
      <c r="BV107" s="68">
        <f>IF($Z$3="yes", 0.516160398576917/$X107, 0.516160398576917)</f>
        <v>6.1815616596037966E-2</v>
      </c>
      <c r="BW107" s="68">
        <f>IF($Z$3="yes", 0.694676047061236/$X107, 0.694676047061236)</f>
        <v>8.3194736174998327E-2</v>
      </c>
      <c r="BX107" s="68">
        <f>$BW$250 - $BV$250</f>
        <v>2.9712135648397753E-2</v>
      </c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81"/>
      <c r="CR107" s="81"/>
      <c r="CS107" s="68"/>
      <c r="CT107" s="68"/>
      <c r="CU107" s="68"/>
    </row>
    <row r="108" spans="1:99" ht="15.75" customHeight="1" thickBot="1" x14ac:dyDescent="0.3">
      <c r="A108" s="84"/>
      <c r="B108" s="67" t="s">
        <v>128</v>
      </c>
      <c r="C108" s="83" t="s">
        <v>399</v>
      </c>
      <c r="D108" s="67" t="s">
        <v>400</v>
      </c>
      <c r="E108" s="67">
        <v>1</v>
      </c>
      <c r="F108" s="85">
        <v>1.26</v>
      </c>
      <c r="G108" s="313">
        <v>44336</v>
      </c>
      <c r="H108" s="317">
        <v>1.3</v>
      </c>
      <c r="I108" s="317">
        <v>3.64</v>
      </c>
      <c r="J108" s="313">
        <v>44383</v>
      </c>
      <c r="K108" s="162">
        <f t="shared" si="4"/>
        <v>3.1746031746031855E-2</v>
      </c>
      <c r="L108" s="119">
        <f t="shared" si="5"/>
        <v>1.8888888888888888</v>
      </c>
      <c r="M108" s="312">
        <v>44407</v>
      </c>
      <c r="N108" s="68"/>
      <c r="O108" s="291">
        <v>9175288</v>
      </c>
      <c r="P108" s="291">
        <v>7900000</v>
      </c>
      <c r="Q108" s="291">
        <v>47</v>
      </c>
      <c r="R108" s="68" t="s">
        <v>152</v>
      </c>
      <c r="S108" s="68" t="s">
        <v>135</v>
      </c>
      <c r="T108" s="68" t="s">
        <v>133</v>
      </c>
      <c r="U108" s="68">
        <v>60</v>
      </c>
      <c r="V108" s="68">
        <v>440397</v>
      </c>
      <c r="W108" s="68"/>
      <c r="X108" s="68">
        <v>1.28</v>
      </c>
      <c r="Y108" s="68">
        <v>2.6074729999999988</v>
      </c>
      <c r="Z108" s="68">
        <v>2.781358999999997</v>
      </c>
      <c r="AA108" s="68">
        <v>2.3416000000000001</v>
      </c>
      <c r="AB108" s="68">
        <v>2.7800020000000001</v>
      </c>
      <c r="AC108" s="68">
        <v>1.466</v>
      </c>
      <c r="AD108" s="68">
        <v>1.3107142857142851</v>
      </c>
      <c r="AE108" s="68">
        <v>1.18625</v>
      </c>
      <c r="AF108" s="68">
        <f>IF($Z$3="yes", 0.000210027750693865/$X108, 0.000210027750693865)</f>
        <v>1.6408418022958204E-4</v>
      </c>
      <c r="AG108" s="68">
        <f>IF($Z$3="yes", -0.0163596741674162/$X108, -0.0163596741674162)</f>
        <v>-1.2780995443293907E-2</v>
      </c>
      <c r="AH108" s="68">
        <f>IF($Z$3="yes", -0.0612811524609842/$X108, -0.0612811524609842)</f>
        <v>-4.7875900360143907E-2</v>
      </c>
      <c r="AI108" s="68">
        <f>IF($Z$3="yes", -0.0496213253301319/$X108, -0.0496213253301319)</f>
        <v>-3.876666041416555E-2</v>
      </c>
      <c r="AJ108" s="68">
        <f>IF($Z$3="yes", -0.0442255639097743/$X108, -0.0442255639097743)</f>
        <v>-3.4551221804511173E-2</v>
      </c>
      <c r="AK108" s="68">
        <f>IF($Z$3="yes", -0.0317142857142862/$X108, -0.0317142857142862)</f>
        <v>-2.4776785714286095E-2</v>
      </c>
      <c r="AL108" s="68">
        <f>IF($Z$3="yes", 0.0239285714285699/$X108, 0.0239285714285699)</f>
        <v>1.8694196428570235E-2</v>
      </c>
      <c r="AM108" s="68">
        <f>IF($Z$3="yes", 0.173885999999997/$X108, 0.173885999999997)</f>
        <v>0.13584843749999764</v>
      </c>
      <c r="AN108" s="68">
        <f>IF($Z$3="yes", 0.265872999999999/$X108, 0.265872999999999)</f>
        <v>0.20771328124999924</v>
      </c>
      <c r="AO108" s="68">
        <f>IF($Z$3="yes", 0.172529/$X108, 0.172529)</f>
        <v>0.13478828124999997</v>
      </c>
      <c r="AP108" s="68">
        <f>IF($Z$3="yes", 1.14147299999999/$X108, 1.14147299999999)</f>
        <v>0.89177578124999213</v>
      </c>
      <c r="AQ108" s="68">
        <f>IF($Z$3="yes", 1.29675871428571/$X108, 1.29675871428571)</f>
        <v>1.0130927455357108</v>
      </c>
      <c r="AR108" s="68">
        <f>IF($Z$3="yes", 1.42122299999999/$X108, 1.42122299999999)</f>
        <v>1.1103304687499922</v>
      </c>
      <c r="AS108" s="68">
        <f>IF($Z$3="yes", 0.439758999999996/$X108, 0.439758999999996)</f>
        <v>0.34356171874999686</v>
      </c>
      <c r="AT108" s="68">
        <f>IF($Z$3="yes", 0.00135699999999694/$X108, 0.00135699999999694)</f>
        <v>1.0601562499976095E-3</v>
      </c>
      <c r="AU108" s="88">
        <f>IF($Z$3="yes", 1.31535899999999/$X108, 1.31535899999999)</f>
        <v>1.0276242187499922</v>
      </c>
      <c r="AV108" s="88">
        <f>IF($Z$3="yes", 1.47064471428571/$X108, 1.47064471428571)</f>
        <v>1.1489411830357108</v>
      </c>
      <c r="AW108" s="88">
        <f>IF($Z$3="yes", 1.59510899999999/$X108, 1.59510899999999)</f>
        <v>1.2461789062499922</v>
      </c>
      <c r="AX108" s="88">
        <f>IF($Z$3="yes", 0.438401999999999/$X108, 0.438401999999999)</f>
        <v>0.34250156249999925</v>
      </c>
      <c r="AY108" s="88">
        <f>IF($Z$3="yes", 1.314002/$X108, 1.314002)</f>
        <v>1.0265640624999999</v>
      </c>
      <c r="AZ108" s="88">
        <f>IF($Z$3="yes", 1.46928771428571/$X108, 1.46928771428571)</f>
        <v>1.1478810267857109</v>
      </c>
      <c r="BA108" s="88">
        <f>IF($Z$3="yes", 1.59375199999999/$X108, 1.59375199999999)</f>
        <v>1.2451187499999923</v>
      </c>
      <c r="BB108" s="88">
        <f>IF($Z$3="yes", 0.8756/$X108, 0.8756)</f>
        <v>0.68406250000000002</v>
      </c>
      <c r="BC108" s="88">
        <f>IF($Z$3="yes", 1.03088571428571/$X108, 1.03088571428571)</f>
        <v>0.80537946428571094</v>
      </c>
      <c r="BD108" s="88">
        <f>IF($Z$3="yes", 1.15534999999999/$X108, 1.15534999999999)</f>
        <v>0.9026171874999922</v>
      </c>
      <c r="BE108" s="88">
        <f>IF($Z$3="yes", 0.155285714285714/$X108, 0.155285714285714)</f>
        <v>0.12131696428571406</v>
      </c>
      <c r="BF108" s="88">
        <f>IF($Z$3="yes", 0.279749999999999/$X108, 0.279749999999999)</f>
        <v>0.21855468749999921</v>
      </c>
      <c r="BG108" s="88">
        <f>IF($Z$3="yes", 0.124464285714285/$X108, 0.124464285714285)</f>
        <v>9.7237723214285157E-2</v>
      </c>
      <c r="BH108" s="88">
        <f>IF($Z$3="yes", 0.942283625850339/$X108, 0.942283625850339)</f>
        <v>0.73615908269557728</v>
      </c>
      <c r="BI108" s="68"/>
      <c r="BJ108" s="68"/>
      <c r="BK108" s="68">
        <f>IF($BL$3="yes", MAX(0, (440397 - 304593.8) / 95994.1834683747), 304593.8)</f>
        <v>304593.8</v>
      </c>
      <c r="BL108" s="68">
        <f>IF($BL$3="yes", MAX(0, (440397 - 466697.8) / 244240.870344338), 466697.8)</f>
        <v>466697.8</v>
      </c>
      <c r="BM108" s="68">
        <f>IF($BL$3="yes", MAX(0, (440397 - 575881.35) / 254115.812957059), 575881.35)</f>
        <v>575881.35</v>
      </c>
      <c r="BN108" s="68">
        <f>IF($BL$3="yes", MAX(0, (440397 - 1136927.02) / 4768710.57251475), 1136927.02)</f>
        <v>1136927.02</v>
      </c>
      <c r="BO108" s="68">
        <f>IF($BL$3="yes", MAX(0, (440397 - 781218) / 3531648.62002649), 781218)</f>
        <v>781218</v>
      </c>
      <c r="BP108" s="68">
        <f>IF($BL$3="yes", MAX(0, (440397 - 427240.95) / 2522709.37059522), 427240.95)</f>
        <v>427240.95</v>
      </c>
      <c r="BQ108" s="68">
        <v>28.873708820807671</v>
      </c>
      <c r="BR108" s="68"/>
      <c r="BS108" s="68"/>
      <c r="BT108" s="68">
        <v>-33357250.43706939</v>
      </c>
      <c r="BU108" s="68">
        <v>-9738.2428424246609</v>
      </c>
      <c r="BV108" s="68">
        <f>IF($Z$3="yes", 0.160848215837808/$X108, 0.160848215837808)</f>
        <v>0.12566266862328751</v>
      </c>
      <c r="BW108" s="68">
        <f>IF($Z$3="yes", 0.364717900240609/$X108, 0.364717900240609)</f>
        <v>0.28493585956297579</v>
      </c>
      <c r="BX108" s="68">
        <f>$BW$251 - $BV$251</f>
        <v>3.4747366931766055E-3</v>
      </c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81"/>
      <c r="CR108" s="81"/>
      <c r="CS108" s="68"/>
      <c r="CT108" s="68"/>
      <c r="CU108" s="68"/>
    </row>
    <row r="109" spans="1:99" ht="15.75" customHeight="1" thickBot="1" x14ac:dyDescent="0.3">
      <c r="A109" s="84"/>
      <c r="B109" s="67" t="s">
        <v>128</v>
      </c>
      <c r="C109" s="83" t="s">
        <v>401</v>
      </c>
      <c r="D109" s="67" t="s">
        <v>402</v>
      </c>
      <c r="E109" s="67">
        <v>1</v>
      </c>
      <c r="F109" s="85">
        <v>2.85</v>
      </c>
      <c r="G109" s="313">
        <v>44336</v>
      </c>
      <c r="H109" s="317">
        <v>3.15</v>
      </c>
      <c r="I109" s="317">
        <v>7.46</v>
      </c>
      <c r="J109" s="313">
        <v>44393</v>
      </c>
      <c r="K109" s="165">
        <f t="shared" si="4"/>
        <v>0.10526315789473673</v>
      </c>
      <c r="L109" s="166">
        <f t="shared" si="5"/>
        <v>1.6175438596491225</v>
      </c>
      <c r="M109" s="312">
        <v>44407</v>
      </c>
      <c r="N109" s="68"/>
      <c r="O109" s="291">
        <v>33889975</v>
      </c>
      <c r="P109" s="291">
        <v>11110000</v>
      </c>
      <c r="Q109" s="291">
        <v>57</v>
      </c>
      <c r="R109" s="68" t="s">
        <v>131</v>
      </c>
      <c r="S109" s="68" t="s">
        <v>135</v>
      </c>
      <c r="T109" s="68" t="s">
        <v>133</v>
      </c>
      <c r="U109" s="68">
        <v>96</v>
      </c>
      <c r="V109" s="68">
        <v>63719</v>
      </c>
      <c r="W109" s="68"/>
      <c r="X109" s="68">
        <v>2.84</v>
      </c>
      <c r="Y109" s="68" t="e">
        <v>#N/A</v>
      </c>
      <c r="Z109" s="68">
        <v>4.18215</v>
      </c>
      <c r="AA109" s="68">
        <v>4.0836000000000006</v>
      </c>
      <c r="AB109" s="68">
        <v>4.422200000000001</v>
      </c>
      <c r="AC109" s="68">
        <v>3.6890000000000001</v>
      </c>
      <c r="AD109" s="68">
        <v>3.4321428571428578</v>
      </c>
      <c r="AE109" s="68">
        <v>3.1087500000000019</v>
      </c>
      <c r="AF109" s="68" t="e">
        <f>IF($Z$3="yes", #N/A/$X109, #N/A)</f>
        <v>#N/A</v>
      </c>
      <c r="AG109" s="68">
        <f>IF($Z$3="yes", -0.000772487248724872/$X109, -0.000772487248724872)</f>
        <v>-2.7200255236791267E-4</v>
      </c>
      <c r="AH109" s="68">
        <f>IF($Z$3="yes", -0.0324960384153663/$X109, -0.0324960384153663)</f>
        <v>-1.1442267047664191E-2</v>
      </c>
      <c r="AI109" s="68">
        <f>IF($Z$3="yes", -0.0244225690276112/$X109, -0.0244225690276112)</f>
        <v>-8.599496136482818E-3</v>
      </c>
      <c r="AJ109" s="68">
        <f>IF($Z$3="yes", -0.0889172932330827/$X109, -0.0889172932330827)</f>
        <v>-3.1308906067986871E-2</v>
      </c>
      <c r="AK109" s="68">
        <f>IF($Z$3="yes", -0.10767032967033/$X109, -0.10767032967033)</f>
        <v>-3.7912087912088027E-2</v>
      </c>
      <c r="AL109" s="68">
        <f>IF($Z$3="yes", -0.14821428571428/$X109, -0.14821428571428)</f>
        <v>-5.2188128772633804E-2</v>
      </c>
      <c r="AM109" s="68"/>
      <c r="AN109" s="68"/>
      <c r="AO109" s="68"/>
      <c r="AP109" s="68"/>
      <c r="AQ109" s="68"/>
      <c r="AR109" s="68"/>
      <c r="AS109" s="68">
        <f>IF($Z$3="yes", 0.0985499999999985/$X109, 0.0985499999999985)</f>
        <v>3.4700704225351583E-2</v>
      </c>
      <c r="AT109" s="68">
        <f>IF($Z$3="yes", 0.24005/$X109, 0.24005)</f>
        <v>8.4524647887323959E-2</v>
      </c>
      <c r="AU109" s="88">
        <f>IF($Z$3="yes", 0.49315/$X109, 0.49315)</f>
        <v>0.1736443661971831</v>
      </c>
      <c r="AV109" s="88">
        <f>IF($Z$3="yes", 0.750007142857141/$X109, 0.750007142857141)</f>
        <v>0.26408702213279611</v>
      </c>
      <c r="AW109" s="88">
        <f>IF($Z$3="yes", 1.07339999999999/$X109, 1.07339999999999)</f>
        <v>0.3779577464788697</v>
      </c>
      <c r="AX109" s="88">
        <f>IF($Z$3="yes", 0.338599999999999/$X109, 0.338599999999999)</f>
        <v>0.11922535211267571</v>
      </c>
      <c r="AY109" s="88">
        <f>IF($Z$3="yes", 0.733200000000001/$X109, 0.733200000000001)</f>
        <v>0.25816901408450738</v>
      </c>
      <c r="AZ109" s="88">
        <f>IF($Z$3="yes", 0.990057142857142/$X109, 0.990057142857142)</f>
        <v>0.34861167002012045</v>
      </c>
      <c r="BA109" s="88">
        <f>IF($Z$3="yes", 1.31344999999999/$X109, 1.31344999999999)</f>
        <v>0.46248239436619371</v>
      </c>
      <c r="BB109" s="88">
        <f>IF($Z$3="yes", 0.394600000000001/$X109, 0.394600000000001)</f>
        <v>0.13894366197183133</v>
      </c>
      <c r="BC109" s="88">
        <f>IF($Z$3="yes", 0.651457142857143/$X109, 0.651457142857143)</f>
        <v>0.22938631790744471</v>
      </c>
      <c r="BD109" s="88">
        <f>IF($Z$3="yes", 0.974849999999999/$X109, 0.974849999999999)</f>
        <v>0.34325704225352077</v>
      </c>
      <c r="BE109" s="88">
        <f>IF($Z$3="yes", 0.256857142857141/$X109, 0.256857142857141)</f>
        <v>9.0442655935613042E-2</v>
      </c>
      <c r="BF109" s="88">
        <f>IF($Z$3="yes", 0.580249999999997/$X109, 0.580249999999997)</f>
        <v>0.20431338028168911</v>
      </c>
      <c r="BG109" s="88">
        <f>IF($Z$3="yes", 0.323392857142855/$X109, 0.323392857142855)</f>
        <v>0.1138707243460757</v>
      </c>
      <c r="BH109" s="88">
        <f>IF($Z$3="yes", 0.750131632653061/$X109, 0.750131632653061)</f>
        <v>0.26413085656797924</v>
      </c>
      <c r="BI109" s="68"/>
      <c r="BJ109" s="68"/>
      <c r="BK109" s="68">
        <f>IF($BL$3="yes", MAX(0, (63719 - 110443.8) / 24915.7333538469), 110443.8)</f>
        <v>110443.8</v>
      </c>
      <c r="BL109" s="68">
        <f>IF($BL$3="yes", MAX(0, (63719 - 154572.1) / 76943.6128986025), 154572.1)</f>
        <v>154572.1</v>
      </c>
      <c r="BM109" s="68">
        <f>IF($BL$3="yes", MAX(0, (63719 - 218469.15) / 205676.088459323), 218469.15)</f>
        <v>218469.15</v>
      </c>
      <c r="BN109" s="68">
        <f>IF($BL$3="yes", MAX(0, (63719 - 98484.56) / 163224.956001729), 98484.56)</f>
        <v>98484.56</v>
      </c>
      <c r="BO109" s="68">
        <f>IF($BL$3="yes", MAX(0, (63719 - 77489.47) / 120974.763088956), 77489.47)</f>
        <v>77489.47</v>
      </c>
      <c r="BP109" s="68">
        <f>IF($BL$3="yes", MAX(0, (63719 - 42773.0732984293) / 95016.2792966385), 42773.0732984293)</f>
        <v>42773.073298429299</v>
      </c>
      <c r="BQ109" s="68">
        <v>34.802189878929077</v>
      </c>
      <c r="BR109" s="68"/>
      <c r="BS109" s="68"/>
      <c r="BT109" s="68">
        <v>-382933.90928983659</v>
      </c>
      <c r="BU109" s="68">
        <v>13933.919036325469</v>
      </c>
      <c r="BV109" s="68">
        <f>IF($Z$3="yes", 0.444299886527559/$X109, 0.444299886527559)</f>
        <v>0.15644362201674614</v>
      </c>
      <c r="BW109" s="68">
        <f>IF($Z$3="yes", 0.592809606151421/$X109, 0.592809606151421)</f>
        <v>0.20873577681388064</v>
      </c>
      <c r="BX109" s="68">
        <f>$BW$253 - $BV$253</f>
        <v>9.9889942179735569E-3</v>
      </c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81"/>
      <c r="CR109" s="81"/>
      <c r="CS109" s="68"/>
      <c r="CT109" s="68"/>
      <c r="CU109" s="68"/>
    </row>
    <row r="110" spans="1:99" ht="15.75" customHeight="1" thickBot="1" x14ac:dyDescent="0.3">
      <c r="A110" s="84"/>
      <c r="B110" s="67" t="s">
        <v>128</v>
      </c>
      <c r="C110" s="83" t="s">
        <v>403</v>
      </c>
      <c r="D110" s="67" t="s">
        <v>404</v>
      </c>
      <c r="E110" s="67">
        <v>1</v>
      </c>
      <c r="F110" s="85">
        <v>8.9700000000000006</v>
      </c>
      <c r="G110" s="313">
        <v>44336</v>
      </c>
      <c r="H110" s="317">
        <v>10.36</v>
      </c>
      <c r="I110" s="85">
        <v>10.635</v>
      </c>
      <c r="J110" s="313">
        <v>44348</v>
      </c>
      <c r="K110" s="167">
        <f t="shared" si="4"/>
        <v>0.15496098104793732</v>
      </c>
      <c r="L110" s="168">
        <f t="shared" si="5"/>
        <v>0.18561872909698995</v>
      </c>
      <c r="M110" s="312">
        <v>44407</v>
      </c>
      <c r="N110" s="68"/>
      <c r="O110" s="291">
        <v>14245764</v>
      </c>
      <c r="P110" s="291">
        <v>13920000</v>
      </c>
      <c r="Q110" s="291">
        <v>12</v>
      </c>
      <c r="R110" s="68" t="s">
        <v>131</v>
      </c>
      <c r="S110" s="68" t="s">
        <v>148</v>
      </c>
      <c r="T110" s="67" t="s">
        <v>405</v>
      </c>
      <c r="U110" s="68">
        <v>16</v>
      </c>
      <c r="V110" s="68">
        <v>114148</v>
      </c>
      <c r="W110" s="68"/>
      <c r="X110" s="68">
        <v>8.9700000000000006</v>
      </c>
      <c r="Y110" s="68">
        <v>7.6553749999999923</v>
      </c>
      <c r="Z110" s="68">
        <v>9.6568500000000022</v>
      </c>
      <c r="AA110" s="68">
        <v>11.04549999999999</v>
      </c>
      <c r="AB110" s="68">
        <v>11.14849999999999</v>
      </c>
      <c r="AC110" s="68">
        <v>9.9439999999999991</v>
      </c>
      <c r="AD110" s="68">
        <v>9.5364285714285728</v>
      </c>
      <c r="AE110" s="68">
        <v>9.1037500000000069</v>
      </c>
      <c r="AF110" s="68">
        <f>IF($Z$3="yes", 0.0372690954773872/$X110, 0.0372690954773872)</f>
        <v>4.1548601424065993E-3</v>
      </c>
      <c r="AG110" s="68">
        <f>IF($Z$3="yes", 0.0449502250225015/$X110, 0.0449502250225015)</f>
        <v>5.0111733581384051E-3</v>
      </c>
      <c r="AH110" s="68">
        <f>IF($Z$3="yes", -0.0687166866746678/$X110, -0.0687166866746678)</f>
        <v>-7.660723152136879E-3</v>
      </c>
      <c r="AI110" s="68">
        <f>IF($Z$3="yes", 0.0102033613445393/$X110, 0.0102033613445393)</f>
        <v>1.1374984776520956E-3</v>
      </c>
      <c r="AJ110" s="68">
        <f>IF($Z$3="yes", -0.132360902255637/$X110, -0.132360902255637)</f>
        <v>-1.475595342872207E-2</v>
      </c>
      <c r="AK110" s="68">
        <f>IF($Z$3="yes", -0.135054945054947/$X110, -0.135054945054947)</f>
        <v>-1.5056292648266108E-2</v>
      </c>
      <c r="AL110" s="68">
        <f>IF($Z$3="yes", -0.06916666666667/$X110, -0.06916666666667)</f>
        <v>-7.7108881456711253E-3</v>
      </c>
      <c r="AM110" s="68">
        <f>IF($Z$3="yes", 2.00147500000001/$X110, 2.00147500000001)</f>
        <v>0.22312987736900888</v>
      </c>
      <c r="AN110" s="68">
        <f>IF($Z$3="yes", 3.390125/$X110, 3.390125)</f>
        <v>0.3779403567447045</v>
      </c>
      <c r="AO110" s="68">
        <f>IF($Z$3="yes", 3.493125/$X110, 3.493125)</f>
        <v>0.38942307692307687</v>
      </c>
      <c r="AP110" s="68">
        <f>IF($Z$3="yes", 2.288625/$X110, 2.288625)</f>
        <v>0.25514214046822742</v>
      </c>
      <c r="AQ110" s="68">
        <f>IF($Z$3="yes", 1.88105357142858/$X110, 1.88105357142858)</f>
        <v>0.20970496894410032</v>
      </c>
      <c r="AR110" s="68">
        <f>IF($Z$3="yes", 1.44837500000001/$X110, 1.44837500000001)</f>
        <v>0.16146878483835114</v>
      </c>
      <c r="AS110" s="68">
        <f>IF($Z$3="yes", 1.38864999999999/$X110, 1.38864999999999)</f>
        <v>0.15481047937569564</v>
      </c>
      <c r="AT110" s="68">
        <f>IF($Z$3="yes", 1.49164999999999/$X110, 1.49164999999999)</f>
        <v>0.16629319955406799</v>
      </c>
      <c r="AU110" s="88">
        <f>IF($Z$3="yes", 0.287149999999996/$X110, 0.287149999999996)</f>
        <v>3.2012263099219174E-2</v>
      </c>
      <c r="AV110" s="88">
        <f>IF($Z$3="yes", 0.120421428571429/$X110, 0.120421428571429)</f>
        <v>1.3424908424908472E-2</v>
      </c>
      <c r="AW110" s="88">
        <f>IF($Z$3="yes", 0.553099999999995/$X110, 0.553099999999995)</f>
        <v>6.1661092530657192E-2</v>
      </c>
      <c r="AX110" s="88">
        <f>IF($Z$3="yes", 0.103000000000001/$X110, 0.103000000000001)</f>
        <v>1.1482720178372463E-2</v>
      </c>
      <c r="AY110" s="88">
        <f>IF($Z$3="yes", 1.20449999999999/$X110, 1.20449999999999)</f>
        <v>0.13428093645484837</v>
      </c>
      <c r="AZ110" s="88">
        <f>IF($Z$3="yes", 1.61207142857142/$X110, 1.61207142857142)</f>
        <v>0.17971810797897658</v>
      </c>
      <c r="BA110" s="88">
        <f>IF($Z$3="yes", 2.04474999999998/$X110, 2.04474999999998)</f>
        <v>0.22795429208472462</v>
      </c>
      <c r="BB110" s="88">
        <f>IF($Z$3="yes", 1.10149999999999/$X110, 1.10149999999999)</f>
        <v>0.12279821627647601</v>
      </c>
      <c r="BC110" s="88">
        <f>IF($Z$3="yes", 1.50907142857142/$X110, 1.50907142857142)</f>
        <v>0.16823538780060421</v>
      </c>
      <c r="BD110" s="88">
        <f>IF($Z$3="yes", 1.94174999999998/$X110, 1.94174999999998)</f>
        <v>0.21647157190635227</v>
      </c>
      <c r="BE110" s="88">
        <f>IF($Z$3="yes", 0.407571428571426/$X110, 0.407571428571426)</f>
        <v>4.5437171524127754E-2</v>
      </c>
      <c r="BF110" s="88">
        <f>IF($Z$3="yes", 0.840249999999992/$X110, 0.840249999999992)</f>
        <v>9.367335562987647E-2</v>
      </c>
      <c r="BG110" s="88">
        <f>IF($Z$3="yes", 0.432678571428565/$X110, 0.432678571428565)</f>
        <v>4.8236184105748599E-2</v>
      </c>
      <c r="BH110" s="88">
        <f>IF($Z$3="yes", 2.03759387755101/$X110, 2.03759387755101)</f>
        <v>0.22715650808818391</v>
      </c>
      <c r="BI110" s="68"/>
      <c r="BJ110" s="68"/>
      <c r="BK110" s="68">
        <f>IF($BL$3="yes", MAX(0, (114148 - 155973.4) / 56238.3480006303), 155973.4)</f>
        <v>155973.4</v>
      </c>
      <c r="BL110" s="68">
        <f>IF($BL$3="yes", MAX(0, (114148 - 183159.5) / 91845.0328164239), 183159.5)</f>
        <v>183159.5</v>
      </c>
      <c r="BM110" s="68">
        <f>IF($BL$3="yes", MAX(0, (114148 - 206583.85) / 133748.232760764), 206583.85)</f>
        <v>206583.85</v>
      </c>
      <c r="BN110" s="68">
        <f>IF($BL$3="yes", MAX(0, (114148 - 249445.42) / 175818.406779164), 249445.42)</f>
        <v>249445.42</v>
      </c>
      <c r="BO110" s="68">
        <f>IF($BL$3="yes", MAX(0, (114148 - 197674.63) / 192268.174665889), 197674.63)</f>
        <v>197674.63</v>
      </c>
      <c r="BP110" s="68">
        <f>IF($BL$3="yes", MAX(0, (114148 - 122081.33) / 158747.812327134), 122081.33)</f>
        <v>122081.33</v>
      </c>
      <c r="BQ110" s="68">
        <v>36.55137107997691</v>
      </c>
      <c r="BR110" s="68"/>
      <c r="BS110" s="68"/>
      <c r="BT110" s="68">
        <v>516351.32473097049</v>
      </c>
      <c r="BU110" s="68">
        <v>-2216.1270762858908</v>
      </c>
      <c r="BV110" s="68">
        <f>IF($Z$3="yes", 0.629279447786053/$X110, 0.629279447786053)</f>
        <v>7.0153784591533222E-2</v>
      </c>
      <c r="BW110" s="68">
        <f>IF($Z$3="yes", 0.772049389050037/$X110, 0.772049389050037)</f>
        <v>8.6070166003348589E-2</v>
      </c>
      <c r="BX110" s="68">
        <f>$BW$254 - $BV$254</f>
        <v>-1.7811420077738283E-2</v>
      </c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81"/>
      <c r="CR110" s="81"/>
      <c r="CS110" s="68"/>
      <c r="CT110" s="68"/>
      <c r="CU110" s="68"/>
    </row>
    <row r="111" spans="1:99" ht="15.75" customHeight="1" thickBot="1" x14ac:dyDescent="0.3">
      <c r="A111" s="84"/>
      <c r="B111" s="67" t="s">
        <v>128</v>
      </c>
      <c r="C111" s="83" t="s">
        <v>406</v>
      </c>
      <c r="D111" s="67" t="s">
        <v>407</v>
      </c>
      <c r="E111" s="67">
        <v>1</v>
      </c>
      <c r="F111" s="85">
        <v>5.75</v>
      </c>
      <c r="G111" s="313">
        <v>44336</v>
      </c>
      <c r="H111" s="317">
        <v>3.98</v>
      </c>
      <c r="I111" s="85">
        <v>7.27</v>
      </c>
      <c r="J111" s="313">
        <v>44343</v>
      </c>
      <c r="K111" s="86">
        <f t="shared" si="4"/>
        <v>-0.30782608695652169</v>
      </c>
      <c r="L111" s="166">
        <f t="shared" si="5"/>
        <v>0.26434782608695651</v>
      </c>
      <c r="M111" s="312">
        <v>44407</v>
      </c>
      <c r="N111" s="68"/>
      <c r="O111" s="291">
        <v>54025000</v>
      </c>
      <c r="P111" s="291">
        <v>26750000</v>
      </c>
      <c r="Q111" s="291">
        <v>7</v>
      </c>
      <c r="R111" s="68" t="s">
        <v>152</v>
      </c>
      <c r="S111" s="68" t="s">
        <v>281</v>
      </c>
      <c r="T111" s="67" t="s">
        <v>408</v>
      </c>
      <c r="U111" s="68">
        <v>84</v>
      </c>
      <c r="V111" s="68">
        <v>142979</v>
      </c>
      <c r="W111" s="68"/>
      <c r="X111" s="68">
        <v>5.75</v>
      </c>
      <c r="Y111" s="68">
        <v>4.2285404999999967</v>
      </c>
      <c r="Z111" s="68">
        <v>5.3002299999999991</v>
      </c>
      <c r="AA111" s="68">
        <v>6.6644000000000014</v>
      </c>
      <c r="AB111" s="68">
        <v>6.4390000000000036</v>
      </c>
      <c r="AC111" s="68">
        <v>5.9825000000000026</v>
      </c>
      <c r="AD111" s="68">
        <v>5.6271428571428546</v>
      </c>
      <c r="AE111" s="68">
        <v>5.3612499999999974</v>
      </c>
      <c r="AF111" s="68">
        <f>IF($Z$3="yes", 0.021388836195905/$X111, 0.021388836195905)</f>
        <v>3.7197975992878259E-3</v>
      </c>
      <c r="AG111" s="68">
        <f>IF($Z$3="yes", 0.0401662346234625/$X111, 0.0401662346234625)</f>
        <v>6.9854321084282609E-3</v>
      </c>
      <c r="AH111" s="68">
        <f>IF($Z$3="yes", -0.0421272509003613/$X111, -0.0421272509003613)</f>
        <v>-7.3264784174541389E-3</v>
      </c>
      <c r="AI111" s="68">
        <f>IF($Z$3="yes", 0.039244657863144/$X111, 0.039244657863144)</f>
        <v>6.825157889242435E-3</v>
      </c>
      <c r="AJ111" s="68">
        <f>IF($Z$3="yes", -0.0951052631578953/$X111, -0.0951052631578953)</f>
        <v>-1.6540045766590489E-2</v>
      </c>
      <c r="AK111" s="68">
        <f>IF($Z$3="yes", -0.0666813186813178/$X111, -0.0666813186813178)</f>
        <v>-1.1596751075011791E-2</v>
      </c>
      <c r="AL111" s="68">
        <f>IF($Z$3="yes", 0.0860714285714375/$X111, 0.0860714285714375)</f>
        <v>1.4968944099380434E-2</v>
      </c>
      <c r="AM111" s="68">
        <f>IF($Z$3="yes", 1.0716895/$X111, 1.0716895)</f>
        <v>0.18638078260869564</v>
      </c>
      <c r="AN111" s="68">
        <f>IF($Z$3="yes", 2.4358595/$X111, 2.4358595)</f>
        <v>0.42362773913043478</v>
      </c>
      <c r="AO111" s="68">
        <f>IF($Z$3="yes", 2.2104595/$X111, 2.2104595)</f>
        <v>0.38442773913043476</v>
      </c>
      <c r="AP111" s="68">
        <f>IF($Z$3="yes", 1.7539595/$X111, 1.7539595)</f>
        <v>0.30503643478260867</v>
      </c>
      <c r="AQ111" s="68">
        <f>IF($Z$3="yes", 1.39860235714285/$X111, 1.39860235714285)</f>
        <v>0.24323519254658263</v>
      </c>
      <c r="AR111" s="68">
        <f>IF($Z$3="yes", 1.13270949999999/$X111, 1.13270949999999)</f>
        <v>0.1969929565217374</v>
      </c>
      <c r="AS111" s="68">
        <f>IF($Z$3="yes", 1.36417/$X111, 1.36417)</f>
        <v>0.23724695652173916</v>
      </c>
      <c r="AT111" s="68">
        <f>IF($Z$3="yes", 1.13877/$X111, 1.13877)</f>
        <v>0.19804695652173915</v>
      </c>
      <c r="AU111" s="88">
        <f>IF($Z$3="yes", 0.682270000000004/$X111, 0.682270000000004)</f>
        <v>0.11865565217391374</v>
      </c>
      <c r="AV111" s="88">
        <f>IF($Z$3="yes", 0.326912857142855/$X111, 0.326912857142855)</f>
        <v>5.6854409937887825E-2</v>
      </c>
      <c r="AW111" s="88">
        <f>IF($Z$3="yes", 0.0610199999999974/$X111, 0.0610199999999974)</f>
        <v>1.0612173913043027E-2</v>
      </c>
      <c r="AX111" s="88">
        <f>IF($Z$3="yes", 0.225399999999996/$X111, 0.225399999999996)</f>
        <v>3.9199999999999305E-2</v>
      </c>
      <c r="AY111" s="88">
        <f>IF($Z$3="yes", 0.456500000000001/$X111, 0.456500000000001)</f>
        <v>7.9391304347826264E-2</v>
      </c>
      <c r="AZ111" s="88">
        <f>IF($Z$3="yes", 0.811857142857149/$X111, 0.811857142857149)</f>
        <v>0.141192546583852</v>
      </c>
      <c r="BA111" s="88">
        <f>IF($Z$3="yes", 1.07775/$X111, 1.07775)</f>
        <v>0.18743478260869564</v>
      </c>
      <c r="BB111" s="88">
        <f>IF($Z$3="yes", 0.681899999999998/$X111, 0.681899999999998)</f>
        <v>0.11859130434782574</v>
      </c>
      <c r="BC111" s="88">
        <f>IF($Z$3="yes", 1.03725714285714/$X111, 1.03725714285714)</f>
        <v>0.18039254658385043</v>
      </c>
      <c r="BD111" s="88">
        <f>IF($Z$3="yes", 1.30315/$X111, 1.30315)</f>
        <v>0.22663478260869566</v>
      </c>
      <c r="BE111" s="88">
        <f>IF($Z$3="yes", 0.355357142857148/$X111, 0.355357142857148)</f>
        <v>6.1801242236025733E-2</v>
      </c>
      <c r="BF111" s="88">
        <f>IF($Z$3="yes", 0.621250000000007/$X111, 0.621250000000007)</f>
        <v>0.10804347826087078</v>
      </c>
      <c r="BG111" s="88">
        <f>IF($Z$3="yes", 0.265892857142858/$X111, 0.265892857142858)</f>
        <v>4.6242236024844868E-2</v>
      </c>
      <c r="BH111" s="88">
        <f>IF($Z$3="yes", 1.32826575510204/$X111, 1.32826575510204)</f>
        <v>0.23100274001774609</v>
      </c>
      <c r="BI111" s="68"/>
      <c r="BJ111" s="68"/>
      <c r="BK111" s="68">
        <f>IF($BL$3="yes", MAX(0, (142979 - 130393) / 27886.2973734413), 130393)</f>
        <v>130393</v>
      </c>
      <c r="BL111" s="68">
        <f>IF($BL$3="yes", MAX(0, (142979 - 199924.3) / 95898.8893346007), 199924.3)</f>
        <v>199924.3</v>
      </c>
      <c r="BM111" s="68">
        <f>IF($BL$3="yes", MAX(0, (142979 - 939378.15) / 2208431.04106821), 939378.15)</f>
        <v>939378.15</v>
      </c>
      <c r="BN111" s="68">
        <f>IF($BL$3="yes", MAX(0, (142979 - 2894342.02) / 10887417.5492936), 2894342.02)</f>
        <v>2894342.02</v>
      </c>
      <c r="BO111" s="68">
        <f>IF($BL$3="yes", MAX(0, (142979 - 1589299.51) / 7811728.96512677), 1589299.51)</f>
        <v>1589299.51</v>
      </c>
      <c r="BP111" s="68">
        <f>IF($BL$3="yes", MAX(0, (142979 - 1018514.64) / 5598835.05166481), 1018514.64)</f>
        <v>1018514.64</v>
      </c>
      <c r="BQ111" s="68">
        <v>43.504868762738283</v>
      </c>
      <c r="BR111" s="68"/>
      <c r="BS111" s="68"/>
      <c r="BT111" s="68">
        <v>-1705955.7748902671</v>
      </c>
      <c r="BU111" s="68">
        <v>30606.921049009539</v>
      </c>
      <c r="BV111" s="68">
        <f>IF($Z$3="yes", 0.663542934807663/$X111, 0.663542934807663)</f>
        <v>0.11539877127089791</v>
      </c>
      <c r="BW111" s="68">
        <f>IF($Z$3="yes", 1.08819996433793/$X111, 1.08819996433793)</f>
        <v>0.18925216771094436</v>
      </c>
      <c r="BX111" s="68">
        <f>$BW$255 - $BV$255</f>
        <v>1.2468705684426443E-2</v>
      </c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81"/>
      <c r="CR111" s="81"/>
      <c r="CS111" s="68"/>
      <c r="CT111" s="68"/>
      <c r="CU111" s="68"/>
    </row>
    <row r="112" spans="1:99" ht="15.75" customHeight="1" thickBot="1" x14ac:dyDescent="0.3">
      <c r="A112" s="84"/>
      <c r="B112" s="67" t="s">
        <v>181</v>
      </c>
      <c r="C112" s="83" t="s">
        <v>409</v>
      </c>
      <c r="D112" s="67" t="s">
        <v>410</v>
      </c>
      <c r="E112" s="67">
        <v>1</v>
      </c>
      <c r="F112" s="85">
        <v>9.7999999999999997E-3</v>
      </c>
      <c r="G112" s="313">
        <v>44336</v>
      </c>
      <c r="H112" s="317">
        <v>1.2500000000000001E-2</v>
      </c>
      <c r="I112" s="317">
        <v>1.7500000000000002E-2</v>
      </c>
      <c r="J112" s="313">
        <v>44369</v>
      </c>
      <c r="K112" s="131">
        <f t="shared" si="4"/>
        <v>0.27551020408163285</v>
      </c>
      <c r="L112" s="158">
        <f t="shared" si="5"/>
        <v>0.78571428571428603</v>
      </c>
      <c r="M112" s="312">
        <v>44407</v>
      </c>
      <c r="N112" s="68"/>
      <c r="O112" s="68">
        <v>1231089842</v>
      </c>
      <c r="P112" s="68"/>
      <c r="Q112" s="68">
        <v>33</v>
      </c>
      <c r="R112" s="68"/>
      <c r="S112" s="68"/>
      <c r="T112" s="68"/>
      <c r="U112" s="68">
        <v>144</v>
      </c>
      <c r="V112" s="68">
        <v>3628671</v>
      </c>
      <c r="W112" s="68"/>
      <c r="X112" s="68">
        <v>9.4999999999999998E-3</v>
      </c>
      <c r="Y112" s="68">
        <v>9.2575000000000001E-3</v>
      </c>
      <c r="Z112" s="68">
        <v>1.6239E-2</v>
      </c>
      <c r="AA112" s="68">
        <v>1.3599999999999991E-2</v>
      </c>
      <c r="AB112" s="68">
        <v>1.656599999999999E-2</v>
      </c>
      <c r="AC112" s="68">
        <v>1.0880000000000001E-2</v>
      </c>
      <c r="AD112" s="68">
        <v>1.0485714285714281E-2</v>
      </c>
      <c r="AE112" s="68">
        <v>9.8375000000000025E-3</v>
      </c>
      <c r="AF112" s="68">
        <f>IF($Z$3="yes", 0.000101243906097652/$X112, 0.000101243906097652)</f>
        <v>1.0657253273437053E-2</v>
      </c>
      <c r="AG112" s="68">
        <f>IF($Z$3="yes", -0.0000383912391239124/$X112, -0.0000383912391239124)</f>
        <v>-4.04118306567499E-3</v>
      </c>
      <c r="AH112" s="68">
        <f>IF($Z$3="yes", -0.00024393757503001/$X112, -0.00024393757503001)</f>
        <v>-2.5677639476843157E-2</v>
      </c>
      <c r="AI112" s="68">
        <f>IF($Z$3="yes", -0.000358314525810323/$X112, -0.000358314525810323)</f>
        <v>-3.7717318506349788E-2</v>
      </c>
      <c r="AJ112" s="68">
        <f>IF($Z$3="yes", -0.000152030075187968/$X112, -0.000152030075187968)</f>
        <v>-1.6003165809259791E-2</v>
      </c>
      <c r="AK112" s="68">
        <f>IF($Z$3="yes", -0.00021010989010989/$X112, -0.00021010989010989)</f>
        <v>-2.2116830537883159E-2</v>
      </c>
      <c r="AL112" s="68">
        <f>IF($Z$3="yes", -0.000105952380952375/$X112, -0.000105952380952375)</f>
        <v>-1.1152882205513158E-2</v>
      </c>
      <c r="AM112" s="68">
        <f>IF($Z$3="yes", 0.00698149999999999/$X112, 0.00698149999999999)</f>
        <v>0.73489473684210427</v>
      </c>
      <c r="AN112" s="68">
        <f>IF($Z$3="yes", 0.00434249999999999/$X112, 0.00434249999999999)</f>
        <v>0.45710526315789363</v>
      </c>
      <c r="AO112" s="68">
        <f>IF($Z$3="yes", 0.00730849999999999/$X112, 0.00730849999999999)</f>
        <v>0.76931578947368318</v>
      </c>
      <c r="AP112" s="68">
        <f>IF($Z$3="yes", 0.0016225/$X112, 0.0016225)</f>
        <v>0.17078947368421055</v>
      </c>
      <c r="AQ112" s="68">
        <f>IF($Z$3="yes", 0.00122821428571428/$X112, 0.00122821428571428)</f>
        <v>0.12928571428571367</v>
      </c>
      <c r="AR112" s="68">
        <f>IF($Z$3="yes", 0.000580000000000002/$X112, 0.000580000000000002)</f>
        <v>6.1052631578947573E-2</v>
      </c>
      <c r="AS112" s="68">
        <f>IF($Z$3="yes", 0.002639/$X112, 0.002639)</f>
        <v>0.27778947368421053</v>
      </c>
      <c r="AT112" s="68">
        <f>IF($Z$3="yes", 0.000326999999999997/$X112, 0.000326999999999997)</f>
        <v>3.442105263157863E-2</v>
      </c>
      <c r="AU112" s="88">
        <f>IF($Z$3="yes", 0.00535899999999999/$X112, 0.00535899999999999)</f>
        <v>0.56410526315789367</v>
      </c>
      <c r="AV112" s="88">
        <f>IF($Z$3="yes", 0.00575328571428571/$X112, 0.00575328571428571)</f>
        <v>0.60560902255639049</v>
      </c>
      <c r="AW112" s="88">
        <f>IF($Z$3="yes", 0.00640149999999999/$X112, 0.00640149999999999)</f>
        <v>0.6738421052631568</v>
      </c>
      <c r="AX112" s="88">
        <f>IF($Z$3="yes", 0.002966/$X112, 0.002966)</f>
        <v>0.31221052631578949</v>
      </c>
      <c r="AY112" s="88">
        <f>IF($Z$3="yes", 0.00568599999999999/$X112, 0.00568599999999999)</f>
        <v>0.59852631578947257</v>
      </c>
      <c r="AZ112" s="88">
        <f>IF($Z$3="yes", 0.00608028571428571/$X112, 0.00608028571428571)</f>
        <v>0.6400300751879695</v>
      </c>
      <c r="BA112" s="88">
        <f>IF($Z$3="yes", 0.00672849999999999/$X112, 0.00672849999999999)</f>
        <v>0.70826315789473582</v>
      </c>
      <c r="BB112" s="88">
        <f>IF($Z$3="yes", 0.00271999999999999/$X112, 0.00271999999999999)</f>
        <v>0.28631578947368314</v>
      </c>
      <c r="BC112" s="88">
        <f>IF($Z$3="yes", 0.0031142857142857/$X112, 0.0031142857142857)</f>
        <v>0.32781954887217896</v>
      </c>
      <c r="BD112" s="88">
        <f>IF($Z$3="yes", 0.00376249999999998/$X112, 0.00376249999999998)</f>
        <v>0.39605263157894527</v>
      </c>
      <c r="BE112" s="88">
        <f>IF($Z$3="yes", 0.000394285714285718/$X112, 0.000394285714285718)</f>
        <v>4.1503759398496633E-2</v>
      </c>
      <c r="BF112" s="88">
        <f>IF($Z$3="yes", 0.00104249999999999/$X112, 0.00104249999999999)</f>
        <v>0.10973684210526212</v>
      </c>
      <c r="BG112" s="88">
        <f>IF($Z$3="yes", 0.000648214285714279/$X112, 0.000648214285714279)</f>
        <v>6.8233082706766215E-2</v>
      </c>
      <c r="BH112" s="88">
        <f>IF($Z$3="yes", 0.00403260884353741/$X112, 0.00403260884353741)</f>
        <v>0.42448514142499055</v>
      </c>
      <c r="BI112" s="68"/>
      <c r="BJ112" s="68"/>
      <c r="BK112" s="68">
        <f>IF($BL$3="yes", MAX(0, (3628671 - 2828118.4) / 963470.704244109), 2828118.4)</f>
        <v>2828118.4</v>
      </c>
      <c r="BL112" s="68">
        <f>IF($BL$3="yes", MAX(0, (3628671 - 2779625.9) / 1318663.05274284), 2779625.9)</f>
        <v>2779625.9</v>
      </c>
      <c r="BM112" s="68">
        <f>IF($BL$3="yes", MAX(0, (3628671 - 4332358.65) / 3566804.53866946), 4332358.65)</f>
        <v>4332358.6500000004</v>
      </c>
      <c r="BN112" s="68">
        <f>IF($BL$3="yes", MAX(0, (3628671 - 6418023.56) / 4196533.06064103), 6418023.56)</f>
        <v>6418023.5599999996</v>
      </c>
      <c r="BO112" s="68">
        <f>IF($BL$3="yes", MAX(0, (3628671 - 10762810.47) / 8338263.49453198), 10762810.47)</f>
        <v>10762810.470000001</v>
      </c>
      <c r="BP112" s="68">
        <f>IF($BL$3="yes", MAX(0, (3628671 - 7264467.345) / 10167256.1206293), 7264467.345)</f>
        <v>7264467.3449999997</v>
      </c>
      <c r="BQ112" s="68">
        <v>39.943974522830842</v>
      </c>
      <c r="BR112" s="68"/>
      <c r="BS112" s="68"/>
      <c r="BT112" s="68">
        <v>59900659.813202977</v>
      </c>
      <c r="BU112" s="68">
        <v>342298.08282190561</v>
      </c>
      <c r="BV112" s="68">
        <f>IF($Z$3="yes", 0.00202626280617571/$X112, 0.00202626280617571)</f>
        <v>0.21329082170270633</v>
      </c>
      <c r="BW112" s="68">
        <f>IF($Z$3="yes", 0.00390273188365047/$X112, 0.00390273188365047)</f>
        <v>0.41081388248952316</v>
      </c>
      <c r="BX112" s="68">
        <f>$BW$107 - $BV$107</f>
        <v>2.1379119578960361E-2</v>
      </c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81"/>
      <c r="CR112" s="81"/>
      <c r="CS112" s="68"/>
      <c r="CT112" s="68"/>
      <c r="CU112" s="68"/>
    </row>
    <row r="113" spans="1:99" ht="15.75" customHeight="1" thickBot="1" x14ac:dyDescent="0.3">
      <c r="A113" s="84"/>
      <c r="B113" s="67" t="s">
        <v>181</v>
      </c>
      <c r="C113" s="83" t="s">
        <v>411</v>
      </c>
      <c r="D113" s="67" t="s">
        <v>412</v>
      </c>
      <c r="E113" s="67">
        <v>1</v>
      </c>
      <c r="F113" s="85">
        <v>1.6000000000000001E-3</v>
      </c>
      <c r="G113" s="313">
        <v>44336</v>
      </c>
      <c r="H113" s="317">
        <v>1.8E-3</v>
      </c>
      <c r="I113" s="317">
        <v>4.3E-3</v>
      </c>
      <c r="J113" s="313">
        <v>44377</v>
      </c>
      <c r="K113" s="159">
        <f t="shared" si="4"/>
        <v>0.125</v>
      </c>
      <c r="L113" s="160">
        <f t="shared" si="5"/>
        <v>1.6875</v>
      </c>
      <c r="M113" s="312">
        <v>44407</v>
      </c>
      <c r="N113" s="68"/>
      <c r="O113" s="68">
        <v>4471952469</v>
      </c>
      <c r="P113" s="68"/>
      <c r="Q113" s="68">
        <v>41</v>
      </c>
      <c r="R113" s="68"/>
      <c r="S113" s="68" t="s">
        <v>135</v>
      </c>
      <c r="T113" s="68"/>
      <c r="U113" s="68">
        <v>248</v>
      </c>
      <c r="V113" s="68">
        <v>300254116</v>
      </c>
      <c r="W113" s="68"/>
      <c r="X113" s="68">
        <v>1.6999999999999999E-3</v>
      </c>
      <c r="Y113" s="68">
        <v>1.0620000000000011E-3</v>
      </c>
      <c r="Z113" s="68">
        <v>1.6589999999999971E-3</v>
      </c>
      <c r="AA113" s="68">
        <v>1.9579999999999979E-3</v>
      </c>
      <c r="AB113" s="68">
        <v>1.9959999999999982E-3</v>
      </c>
      <c r="AC113" s="68">
        <v>1.72E-3</v>
      </c>
      <c r="AD113" s="68">
        <v>1.7071428571428569E-3</v>
      </c>
      <c r="AE113" s="68">
        <v>1.7374999999999999E-3</v>
      </c>
      <c r="AF113" s="68">
        <f>IF($Z$3="yes", 0.0000101735543388584/$X113, 0.0000101735543388584)</f>
        <v>5.9844437287402356E-3</v>
      </c>
      <c r="AG113" s="68">
        <f>IF($Z$3="yes", 0.0000114293429342937/$X113, 0.0000114293429342937)</f>
        <v>6.7231429025257057E-3</v>
      </c>
      <c r="AH113" s="68">
        <f>IF($Z$3="yes", -0.0000178679471788708/$X113, -0.0000178679471788708)</f>
        <v>-1.0510557164041649E-2</v>
      </c>
      <c r="AI113" s="68">
        <f>IF($Z$3="yes", -0.0000112749099639849/$X113, -0.0000112749099639849)</f>
        <v>-6.6322999788146469E-3</v>
      </c>
      <c r="AJ113" s="68">
        <f>IF($Z$3="yes", -2.10526315789517E-06/$X113, -2.10526315789517E-06)</f>
        <v>-1.2383900928795118E-3</v>
      </c>
      <c r="AK113" s="68">
        <f>IF($Z$3="yes", 6.59340659340098E-07/$X113, 6.59340659340098E-07)</f>
        <v>3.8784744667064592E-4</v>
      </c>
      <c r="AL113" s="68">
        <f>IF($Z$3="yes", -0.0000369047619047631/$X113, -0.0000369047619047631)</f>
        <v>-2.1708683473390059E-2</v>
      </c>
      <c r="AM113" s="68">
        <f>IF($Z$3="yes", 0.000596999999999996/$X113, 0.000596999999999996)</f>
        <v>0.35117647058823293</v>
      </c>
      <c r="AN113" s="68">
        <f>IF($Z$3="yes", 0.000895999999999996/$X113, 0.000895999999999996)</f>
        <v>0.52705882352940947</v>
      </c>
      <c r="AO113" s="68">
        <f>IF($Z$3="yes", 0.000933999999999997/$X113, 0.000933999999999997)</f>
        <v>0.5494117647058806</v>
      </c>
      <c r="AP113" s="68">
        <f>IF($Z$3="yes", 0.000657999999999999/$X113, 0.000657999999999999)</f>
        <v>0.38705882352941118</v>
      </c>
      <c r="AQ113" s="68">
        <f>IF($Z$3="yes", 0.000645142857142856/$X113, 0.000645142857142856)</f>
        <v>0.37949579831932706</v>
      </c>
      <c r="AR113" s="68">
        <f>IF($Z$3="yes", 0.000675499999999999/$X113, 0.000675499999999999)</f>
        <v>0.39735294117647002</v>
      </c>
      <c r="AS113" s="68">
        <f>IF($Z$3="yes", 0.000299/$X113, 0.000299)</f>
        <v>0.17588235294117649</v>
      </c>
      <c r="AT113" s="68">
        <f>IF($Z$3="yes", 0.000337/$X113, 0.000337)</f>
        <v>0.19823529411764707</v>
      </c>
      <c r="AU113" s="88">
        <f>IF($Z$3="yes", 0.0000610000000000028/$X113, 0.0000610000000000028)</f>
        <v>3.5882352941178121E-2</v>
      </c>
      <c r="AV113" s="88">
        <f>IF($Z$3="yes", 0.0000481428571428596/$X113, 0.0000481428571428596)</f>
        <v>2.8319327731093885E-2</v>
      </c>
      <c r="AW113" s="88">
        <f>IF($Z$3="yes", 0.0000785000000000026/$X113, 0.0000785000000000026)</f>
        <v>4.6176470588236825E-2</v>
      </c>
      <c r="AX113" s="88">
        <f>IF($Z$3="yes", 0.0000380000000000002/$X113, 0.0000380000000000002)</f>
        <v>2.2352941176470707E-2</v>
      </c>
      <c r="AY113" s="88">
        <f>IF($Z$3="yes", 0.000275999999999997/$X113, 0.000275999999999997)</f>
        <v>0.16235294117646884</v>
      </c>
      <c r="AZ113" s="88">
        <f>IF($Z$3="yes", 0.00028885714285714/$X113, 0.00028885714285714)</f>
        <v>0.16991596638655296</v>
      </c>
      <c r="BA113" s="88">
        <f>IF($Z$3="yes", 0.000258499999999997/$X113, 0.000258499999999997)</f>
        <v>0.15205882352941003</v>
      </c>
      <c r="BB113" s="88">
        <f>IF($Z$3="yes", 0.000237999999999997/$X113, 0.000237999999999997)</f>
        <v>0.13999999999999824</v>
      </c>
      <c r="BC113" s="88">
        <f>IF($Z$3="yes", 0.00025085714285714/$X113, 0.00025085714285714)</f>
        <v>0.14756302521008238</v>
      </c>
      <c r="BD113" s="88">
        <f>IF($Z$3="yes", 0.000220499999999997/$X113, 0.000220499999999997)</f>
        <v>0.12970588235293942</v>
      </c>
      <c r="BE113" s="88">
        <f>IF($Z$3="yes", 0.0000128571428571432/$X113, 0.0000128571428571432)</f>
        <v>7.5630252100842357E-3</v>
      </c>
      <c r="BF113" s="88">
        <f>IF($Z$3="yes", 0.0000174999999999997/$X113, 0.0000174999999999997)</f>
        <v>1.0294117647058648E-2</v>
      </c>
      <c r="BG113" s="88">
        <f>IF($Z$3="yes", 0.0000303571428571429/$X113, 0.0000303571428571429)</f>
        <v>1.7857142857142884E-2</v>
      </c>
      <c r="BH113" s="88">
        <f>IF($Z$3="yes", 0.000419636054421768/$X113, 0.000419636054421768)</f>
        <v>0.24684473789515768</v>
      </c>
      <c r="BI113" s="68"/>
      <c r="BJ113" s="68"/>
      <c r="BK113" s="68">
        <f>IF($BL$3="yes", MAX(0, (300254116 - 146600842.2) / 93046171.6444875), 146600842.2)</f>
        <v>146600842.19999999</v>
      </c>
      <c r="BL113" s="68">
        <f>IF($BL$3="yes", MAX(0, (300254116 - 132102541.6) / 95737827.8203655), 132102541.6)</f>
        <v>132102541.59999999</v>
      </c>
      <c r="BM113" s="68">
        <f>IF($BL$3="yes", MAX(0, (300254116 - 94600903.3) / 86555448.5377571), 94600903.3)</f>
        <v>94600903.299999997</v>
      </c>
      <c r="BN113" s="68">
        <f>IF($BL$3="yes", MAX(0, (300254116 - 151847830.36) / 167000375.622251), 151847830.36)</f>
        <v>151847830.36000001</v>
      </c>
      <c r="BO113" s="68">
        <f>IF($BL$3="yes", MAX(0, (300254116 - 204410686.18) / 201969944.35692), 204410686.18)</f>
        <v>204410686.18000001</v>
      </c>
      <c r="BP113" s="68">
        <f>IF($BL$3="yes", MAX(0, (300254116 - 134784829.8) / 179166017.72427), 134784829.8)</f>
        <v>134784829.80000001</v>
      </c>
      <c r="BQ113" s="68">
        <v>47.327962244050909</v>
      </c>
      <c r="BR113" s="68"/>
      <c r="BS113" s="68"/>
      <c r="BT113" s="68">
        <v>157610966.7238099</v>
      </c>
      <c r="BU113" s="68">
        <v>9539260.6942206919</v>
      </c>
      <c r="BV113" s="68">
        <f>IF($Z$3="yes", 0.000346280374416955/$X113, 0.000346280374416955)</f>
        <v>0.20369433789232647</v>
      </c>
      <c r="BW113" s="68">
        <f>IF($Z$3="yes", 0.00051831764267138/$X113, 0.00051831764267138)</f>
        <v>0.30489273098316472</v>
      </c>
      <c r="BX113" s="68">
        <f>$BW$248 - $BV$248</f>
        <v>3.8445369085479145E-2</v>
      </c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81"/>
      <c r="CR113" s="81"/>
      <c r="CS113" s="68"/>
      <c r="CT113" s="68"/>
      <c r="CU113" s="68"/>
    </row>
    <row r="114" spans="1:99" ht="15.75" customHeight="1" thickBot="1" x14ac:dyDescent="0.3">
      <c r="A114" s="84"/>
      <c r="B114" s="67" t="s">
        <v>181</v>
      </c>
      <c r="C114" s="83" t="s">
        <v>413</v>
      </c>
      <c r="D114" s="67" t="s">
        <v>414</v>
      </c>
      <c r="E114" s="67">
        <v>1</v>
      </c>
      <c r="F114" s="85">
        <v>1.1999999999999999E-3</v>
      </c>
      <c r="G114" s="313">
        <v>44336</v>
      </c>
      <c r="H114" s="317">
        <v>8.9999999999999998E-4</v>
      </c>
      <c r="I114" s="317">
        <v>1.6999999999999999E-3</v>
      </c>
      <c r="J114" s="313">
        <v>44361</v>
      </c>
      <c r="K114" s="125">
        <f t="shared" si="4"/>
        <v>-0.25</v>
      </c>
      <c r="L114" s="139">
        <f t="shared" si="5"/>
        <v>0.41666666666666674</v>
      </c>
      <c r="M114" s="312">
        <v>44407</v>
      </c>
      <c r="N114" s="68"/>
      <c r="O114" s="68">
        <v>2923577926</v>
      </c>
      <c r="P114" s="68"/>
      <c r="Q114" s="68">
        <v>25</v>
      </c>
      <c r="R114" s="68"/>
      <c r="S114" s="68" t="s">
        <v>192</v>
      </c>
      <c r="T114" s="68"/>
      <c r="U114" s="68">
        <v>120</v>
      </c>
      <c r="V114" s="68">
        <v>42519599</v>
      </c>
      <c r="W114" s="68"/>
      <c r="X114" s="68">
        <v>1.2999999999999999E-3</v>
      </c>
      <c r="Y114" s="68">
        <v>1.4090000000000001E-3</v>
      </c>
      <c r="Z114" s="68">
        <v>2.2639999999999991E-3</v>
      </c>
      <c r="AA114" s="68">
        <v>1.5260000000000011E-3</v>
      </c>
      <c r="AB114" s="68">
        <v>1.8580000000000009E-3</v>
      </c>
      <c r="AC114" s="68">
        <v>1.3550000000000001E-3</v>
      </c>
      <c r="AD114" s="68">
        <v>1.3571428571428569E-3</v>
      </c>
      <c r="AE114" s="68">
        <v>1.387499999999999E-3</v>
      </c>
      <c r="AF114" s="68">
        <f>IF($Z$3="yes", 0.0000112726318157953/$X114, 0.0000112726318157953)</f>
        <v>8.6712552429194616E-3</v>
      </c>
      <c r="AG114" s="68">
        <f>IF($Z$3="yes", -0.0000188838883888388/$X114, -0.0000188838883888388)</f>
        <v>-1.4526067991414463E-2</v>
      </c>
      <c r="AH114" s="68">
        <f>IF($Z$3="yes", -0.0000190588235294119/$X114, -0.0000190588235294119)</f>
        <v>-1.4660633484163001E-2</v>
      </c>
      <c r="AI114" s="68">
        <f>IF($Z$3="yes", -0.0000447202881152462/$X114, -0.0000447202881152462)</f>
        <v>-3.4400221627112461E-2</v>
      </c>
      <c r="AJ114" s="68">
        <f>IF($Z$3="yes", 5.48872180451164E-06/$X114, 5.48872180451164E-06)</f>
        <v>4.2220936957781847E-3</v>
      </c>
      <c r="AK114" s="68">
        <f>IF($Z$3="yes", 0.000012747252747253/$X114, 0.000012747252747253)</f>
        <v>9.8055790363484625E-3</v>
      </c>
      <c r="AL114" s="68">
        <f>IF($Z$3="yes", 0.0000154761904761892/$X114, 0.0000154761904761892)</f>
        <v>1.1904761904760922E-2</v>
      </c>
      <c r="AM114" s="68">
        <f>IF($Z$3="yes", 0.000854999999999998/$X114, 0.000854999999999998)</f>
        <v>0.65769230769230624</v>
      </c>
      <c r="AN114" s="68">
        <f>IF($Z$3="yes", 0.000117/$X114, 0.000117)</f>
        <v>0.09</v>
      </c>
      <c r="AO114" s="68">
        <f>IF($Z$3="yes", 0.000449/$X114, 0.000449)</f>
        <v>0.3453846153846154</v>
      </c>
      <c r="AP114" s="68">
        <f>IF($Z$3="yes", 0.0000540000000000002/$X114, 0.0000540000000000002)</f>
        <v>4.1538461538461698E-2</v>
      </c>
      <c r="AQ114" s="68">
        <f>IF($Z$3="yes", 0.0000518571428571429/$X114, 0.0000518571428571429)</f>
        <v>3.9890109890109923E-2</v>
      </c>
      <c r="AR114" s="68">
        <f>IF($Z$3="yes", 0.0000215000000000006/$X114, 0.0000215000000000006)</f>
        <v>1.6538461538462002E-2</v>
      </c>
      <c r="AS114" s="68">
        <f>IF($Z$3="yes", 0.000737999999999998/$X114, 0.000737999999999998)</f>
        <v>0.56769230769230616</v>
      </c>
      <c r="AT114" s="68">
        <f>IF($Z$3="yes", 0.000405999999999997/$X114, 0.000405999999999997)</f>
        <v>0.31230769230769001</v>
      </c>
      <c r="AU114" s="88">
        <f>IF($Z$3="yes", 0.000908999999999998/$X114, 0.000908999999999998)</f>
        <v>0.69923076923076777</v>
      </c>
      <c r="AV114" s="88">
        <f>IF($Z$3="yes", 0.000906857142857141/$X114, 0.000906857142857141)</f>
        <v>0.69758241758241624</v>
      </c>
      <c r="AW114" s="88">
        <f>IF($Z$3="yes", 0.000876499999999999/$X114, 0.000876499999999999)</f>
        <v>0.67423076923076852</v>
      </c>
      <c r="AX114" s="88">
        <f>IF($Z$3="yes", 0.000332/$X114, 0.000332)</f>
        <v>0.25538461538461538</v>
      </c>
      <c r="AY114" s="88">
        <f>IF($Z$3="yes", 0.000503/$X114, 0.000503)</f>
        <v>0.38692307692307693</v>
      </c>
      <c r="AZ114" s="88">
        <f>IF($Z$3="yes", 0.000500857142857143/$X114, 0.000500857142857143)</f>
        <v>0.38527472527472534</v>
      </c>
      <c r="BA114" s="88">
        <f>IF($Z$3="yes", 0.000470500000000001/$X114, 0.000470500000000001)</f>
        <v>0.36192307692307768</v>
      </c>
      <c r="BB114" s="88">
        <f>IF($Z$3="yes", 0.000171/$X114, 0.000171)</f>
        <v>0.13153846153846155</v>
      </c>
      <c r="BC114" s="88">
        <f>IF($Z$3="yes", 0.000168857142857143/$X114, 0.000168857142857143)</f>
        <v>0.12989010989011002</v>
      </c>
      <c r="BD114" s="88">
        <f>IF($Z$3="yes", 0.000138500000000001/$X114, 0.000138500000000001)</f>
        <v>0.10653846153846232</v>
      </c>
      <c r="BE114" s="88">
        <f>IF($Z$3="yes", 2.14285714285724E-06/$X114, 2.14285714285724E-06)</f>
        <v>1.6483516483517232E-3</v>
      </c>
      <c r="BF114" s="88">
        <f>IF($Z$3="yes", 0.0000324999999999995/$X114, 0.0000324999999999995)</f>
        <v>2.499999999999962E-2</v>
      </c>
      <c r="BG114" s="88">
        <f>IF($Z$3="yes", 0.0000303571428571423/$X114, 0.0000303571428571423)</f>
        <v>2.3351648351647922E-2</v>
      </c>
      <c r="BH114" s="88">
        <f>IF($Z$3="yes", 0.000452717687074829/$X114, 0.000452717687074829)</f>
        <v>0.34824437467294539</v>
      </c>
      <c r="BI114" s="68"/>
      <c r="BJ114" s="68"/>
      <c r="BK114" s="68">
        <f>IF($BL$3="yes", MAX(0, (42519599 - 43831890.2) / 25575706.3959171), 43831890.2)</f>
        <v>43831890.200000003</v>
      </c>
      <c r="BL114" s="68">
        <f>IF($BL$3="yes", MAX(0, (42519599 - 71998969) / 121382198.938495), 71998969)</f>
        <v>71998969</v>
      </c>
      <c r="BM114" s="68">
        <f>IF($BL$3="yes", MAX(0, (42519599 - 52177662.05) / 89155760.6998945), 52177662.05)</f>
        <v>52177662.049999997</v>
      </c>
      <c r="BN114" s="68">
        <f>IF($BL$3="yes", MAX(0, (42519599 - 48377584.26) / 59646019.25904), 48377584.26)</f>
        <v>48377584.259999998</v>
      </c>
      <c r="BO114" s="68">
        <f>IF($BL$3="yes", MAX(0, (42519599 - 78974413.78) / 108697457.588582), 78974413.78)</f>
        <v>78974413.780000001</v>
      </c>
      <c r="BP114" s="68">
        <f>IF($BL$3="yes", MAX(0, (42519599 - 78049686.3) / 118177851.319977), 78049686.3)</f>
        <v>78049686.299999997</v>
      </c>
      <c r="BQ114" s="68">
        <v>47.527561510085519</v>
      </c>
      <c r="BR114" s="68"/>
      <c r="BS114" s="68"/>
      <c r="BT114" s="68">
        <v>504062935.46666658</v>
      </c>
      <c r="BU114" s="68">
        <v>22352353.438515309</v>
      </c>
      <c r="BV114" s="68">
        <f>IF($Z$3="yes", 0.000341048707306943/$X114, 0.000341048707306943)</f>
        <v>0.26234515946687925</v>
      </c>
      <c r="BW114" s="68">
        <f>IF($Z$3="yes", 0.000527954436413904/$X114, 0.000527954436413904)</f>
        <v>0.40611879724146466</v>
      </c>
      <c r="BX114" s="68">
        <f>$BW$249 - $BV$249</f>
        <v>-5.6027467929211372E-3</v>
      </c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81"/>
      <c r="CR114" s="81"/>
      <c r="CS114" s="68"/>
      <c r="CT114" s="68"/>
      <c r="CU114" s="68"/>
    </row>
    <row r="115" spans="1:99" ht="15.75" customHeight="1" thickBot="1" x14ac:dyDescent="0.3">
      <c r="A115" s="84"/>
      <c r="B115" s="67" t="s">
        <v>181</v>
      </c>
      <c r="C115" s="83" t="s">
        <v>415</v>
      </c>
      <c r="D115" s="67" t="s">
        <v>416</v>
      </c>
      <c r="E115" s="67">
        <v>1</v>
      </c>
      <c r="F115" s="85">
        <v>3.5999999999999999E-3</v>
      </c>
      <c r="G115" s="313">
        <v>44336</v>
      </c>
      <c r="H115" s="317">
        <v>6.7000000000000002E-3</v>
      </c>
      <c r="I115" s="317">
        <v>8.5000000000000006E-3</v>
      </c>
      <c r="J115" s="313">
        <v>44375</v>
      </c>
      <c r="K115" s="163">
        <f t="shared" si="4"/>
        <v>0.86111111111111116</v>
      </c>
      <c r="L115" s="164">
        <f t="shared" si="5"/>
        <v>1.3611111111111112</v>
      </c>
      <c r="M115" s="312">
        <v>44407</v>
      </c>
      <c r="N115" s="68"/>
      <c r="O115" s="68">
        <v>1499996657</v>
      </c>
      <c r="P115" s="68"/>
      <c r="Q115" s="68">
        <v>39</v>
      </c>
      <c r="R115" s="68"/>
      <c r="S115" s="68" t="s">
        <v>148</v>
      </c>
      <c r="T115" s="68"/>
      <c r="U115" s="68">
        <v>60</v>
      </c>
      <c r="V115" s="68">
        <v>10878108</v>
      </c>
      <c r="W115" s="68"/>
      <c r="X115" s="68">
        <v>3.7000000000000002E-3</v>
      </c>
      <c r="Y115" s="68">
        <v>3.4065000000000059E-3</v>
      </c>
      <c r="Z115" s="68">
        <v>5.9850000000000068E-3</v>
      </c>
      <c r="AA115" s="68">
        <v>4.648000000000002E-3</v>
      </c>
      <c r="AB115" s="68">
        <v>5.2400000000000016E-3</v>
      </c>
      <c r="AC115" s="68">
        <v>4.340000000000001E-3</v>
      </c>
      <c r="AD115" s="68">
        <v>4.3999999999999994E-3</v>
      </c>
      <c r="AE115" s="68">
        <v>4.0874999999999991E-3</v>
      </c>
      <c r="AF115" s="68">
        <f>IF($Z$3="yes", 0.0000370438010950271/$X115, 0.0000370438010950271)</f>
        <v>1.0011838133791107E-2</v>
      </c>
      <c r="AG115" s="68">
        <f>IF($Z$3="yes", -0.0000298775877587767/$X115, -0.0000298775877587767)</f>
        <v>-8.0750237185882971E-3</v>
      </c>
      <c r="AH115" s="68">
        <f>IF($Z$3="yes", -0.0000369459783913564/$X115, -0.0000369459783913564)</f>
        <v>-9.9853995652314596E-3</v>
      </c>
      <c r="AI115" s="68">
        <f>IF($Z$3="yes", -0.0000738535414165667/$X115, -0.0000738535414165667)</f>
        <v>-1.9960416599072082E-2</v>
      </c>
      <c r="AJ115" s="68">
        <f>IF($Z$3="yes", -0.0000180451127819566/$X115, -0.0000180451127819566)</f>
        <v>-4.8770575086369188E-3</v>
      </c>
      <c r="AK115" s="68">
        <f>IF($Z$3="yes", -0.000102857142857141/$X115, -0.000102857142857141)</f>
        <v>-2.7799227799227295E-2</v>
      </c>
      <c r="AL115" s="68">
        <f>IF($Z$3="yes", -0.000132142857142851/$X115, -0.000132142857142851)</f>
        <v>-3.5714285714284054E-2</v>
      </c>
      <c r="AM115" s="68">
        <f>IF($Z$3="yes", 0.0025785/$X115, 0.0025785)</f>
        <v>0.69689189189189182</v>
      </c>
      <c r="AN115" s="68">
        <f>IF($Z$3="yes", 0.00124149999999999/$X115, 0.00124149999999999)</f>
        <v>0.33554054054053783</v>
      </c>
      <c r="AO115" s="68">
        <f>IF($Z$3="yes", 0.00183349999999999/$X115, 0.00183349999999999)</f>
        <v>0.49554054054053787</v>
      </c>
      <c r="AP115" s="68">
        <f>IF($Z$3="yes", 0.000933499999999995/$X115, 0.000933499999999995)</f>
        <v>0.25229729729729594</v>
      </c>
      <c r="AQ115" s="68">
        <f>IF($Z$3="yes", 0.000993499999999993/$X115, 0.000993499999999993)</f>
        <v>0.26851351351351166</v>
      </c>
      <c r="AR115" s="68">
        <f>IF($Z$3="yes", 0.000680999999999993/$X115, 0.000680999999999993)</f>
        <v>0.18405405405405217</v>
      </c>
      <c r="AS115" s="68">
        <f>IF($Z$3="yes", 0.001337/$X115, 0.001337)</f>
        <v>0.36135135135135138</v>
      </c>
      <c r="AT115" s="68">
        <f>IF($Z$3="yes", 0.000745000000000005/$X115, 0.000745000000000005)</f>
        <v>0.20135135135135268</v>
      </c>
      <c r="AU115" s="88">
        <f>IF($Z$3="yes", 0.001645/$X115, 0.001645)</f>
        <v>0.44459459459459455</v>
      </c>
      <c r="AV115" s="88">
        <f>IF($Z$3="yes", 0.001585/$X115, 0.001585)</f>
        <v>0.42837837837837839</v>
      </c>
      <c r="AW115" s="88">
        <f>IF($Z$3="yes", 0.0018975/$X115, 0.0018975)</f>
        <v>0.51283783783783787</v>
      </c>
      <c r="AX115" s="88">
        <f>IF($Z$3="yes", 0.000591999999999999/$X115, 0.000591999999999999)</f>
        <v>0.15999999999999973</v>
      </c>
      <c r="AY115" s="88">
        <f>IF($Z$3="yes", 0.0009/$X115, 0.0009)</f>
        <v>0.24324324324324323</v>
      </c>
      <c r="AZ115" s="88">
        <f>IF($Z$3="yes", 0.000840000000000002/$X115, 0.000840000000000002)</f>
        <v>0.22702702702702757</v>
      </c>
      <c r="BA115" s="88">
        <f>IF($Z$3="yes", 0.0011525/$X115, 0.0011525)</f>
        <v>0.31148648648648652</v>
      </c>
      <c r="BB115" s="88">
        <f>IF($Z$3="yes", 0.000308000000000001/$X115, 0.000308000000000001)</f>
        <v>8.3243243243243503E-2</v>
      </c>
      <c r="BC115" s="88">
        <f>IF($Z$3="yes", 0.000248000000000002/$X115, 0.000248000000000002)</f>
        <v>6.7027027027027564E-2</v>
      </c>
      <c r="BD115" s="88">
        <f>IF($Z$3="yes", 0.000560500000000002/$X115, 0.000560500000000002)</f>
        <v>0.15148648648648702</v>
      </c>
      <c r="BE115" s="88">
        <f>IF($Z$3="yes", 0.0000599999999999984/$X115, 0.0000599999999999984)</f>
        <v>1.6216216216215783E-2</v>
      </c>
      <c r="BF115" s="88">
        <f>IF($Z$3="yes", 0.000252500000000001/$X115, 0.000252500000000001)</f>
        <v>6.8243243243243504E-2</v>
      </c>
      <c r="BG115" s="88">
        <f>IF($Z$3="yes", 0.0003125/$X115, 0.0003125)</f>
        <v>8.4459459459459457E-2</v>
      </c>
      <c r="BH115" s="88">
        <f>IF($Z$3="yes", 0.00120783333333333/$X115, 0.00120783333333333)</f>
        <v>0.32644144144144055</v>
      </c>
      <c r="BI115" s="68"/>
      <c r="BJ115" s="68"/>
      <c r="BK115" s="68">
        <f>IF($BL$3="yes", MAX(0, (10878108 - 9465123) / 1821938.9151578), 9465123)</f>
        <v>9465123</v>
      </c>
      <c r="BL115" s="68">
        <f>IF($BL$3="yes", MAX(0, (10878108 - 15185141.5) / 8918828.75034352), 15185141.5)</f>
        <v>15185141.5</v>
      </c>
      <c r="BM115" s="68">
        <f>IF($BL$3="yes", MAX(0, (10878108 - 13184832.65) / 7078609.03196161), 13184832.65)</f>
        <v>13184832.65</v>
      </c>
      <c r="BN115" s="68">
        <f>IF($BL$3="yes", MAX(0, (10878108 - 10696613) / 6441605.12178991), 10696613)</f>
        <v>10696613</v>
      </c>
      <c r="BO115" s="68">
        <f>IF($BL$3="yes", MAX(0, (10878108 - 22213575.56) / 20492610.7875863), 22213575.56)</f>
        <v>22213575.559999999</v>
      </c>
      <c r="BP115" s="68">
        <f>IF($BL$3="yes", MAX(0, (10878108 - 22459649.66) / 37390843.4542801), 22459649.66)</f>
        <v>22459649.66</v>
      </c>
      <c r="BQ115" s="68">
        <v>41.4506683285435</v>
      </c>
      <c r="BR115" s="68"/>
      <c r="BS115" s="68"/>
      <c r="BT115" s="68">
        <v>-4667340.289166363</v>
      </c>
      <c r="BU115" s="68">
        <v>-2226444.5461674212</v>
      </c>
      <c r="BV115" s="68">
        <f>IF($Z$3="yes", 0.00104619069128721/$X115, 0.00104619069128721)</f>
        <v>0.28275424088843515</v>
      </c>
      <c r="BW115" s="68">
        <f>IF($Z$3="yes", 0.0015263056557045/$X115, 0.0015263056557045)</f>
        <v>0.41251504208229728</v>
      </c>
      <c r="BX115" s="68">
        <f>$BW$252 - $BV$252</f>
        <v>8.9322493904595721E-2</v>
      </c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81"/>
      <c r="CR115" s="81"/>
      <c r="CS115" s="68"/>
      <c r="CT115" s="68"/>
      <c r="CU115" s="68"/>
    </row>
    <row r="116" spans="1:99" ht="15.75" customHeight="1" thickBot="1" x14ac:dyDescent="0.3">
      <c r="A116" s="84"/>
      <c r="B116" s="67" t="s">
        <v>128</v>
      </c>
      <c r="C116" s="83" t="s">
        <v>417</v>
      </c>
      <c r="D116" s="67" t="s">
        <v>418</v>
      </c>
      <c r="E116" s="67">
        <v>1</v>
      </c>
      <c r="F116" s="85">
        <v>2.66</v>
      </c>
      <c r="G116" s="313">
        <v>44335</v>
      </c>
      <c r="H116" s="317">
        <v>4.2699999999999996</v>
      </c>
      <c r="I116" s="85">
        <v>6.34</v>
      </c>
      <c r="J116" s="313">
        <v>44364</v>
      </c>
      <c r="K116" s="139">
        <f t="shared" si="4"/>
        <v>0.6052631578947365</v>
      </c>
      <c r="L116" s="169">
        <f t="shared" si="5"/>
        <v>1.3834586466165413</v>
      </c>
      <c r="M116" s="312">
        <v>44407</v>
      </c>
      <c r="N116" s="68"/>
      <c r="O116" s="291">
        <v>3381823</v>
      </c>
      <c r="P116" s="291">
        <v>3570000</v>
      </c>
      <c r="Q116" s="291">
        <v>29</v>
      </c>
      <c r="R116" s="68" t="s">
        <v>147</v>
      </c>
      <c r="S116" s="68" t="s">
        <v>157</v>
      </c>
      <c r="T116" s="68" t="s">
        <v>154</v>
      </c>
      <c r="U116" s="68">
        <v>80</v>
      </c>
      <c r="V116" s="68">
        <v>71408</v>
      </c>
      <c r="W116" s="68"/>
      <c r="X116" s="68">
        <v>2.69</v>
      </c>
      <c r="Y116" s="68">
        <v>2.6381604999999988</v>
      </c>
      <c r="Z116" s="68">
        <v>3.0335490000000012</v>
      </c>
      <c r="AA116" s="68">
        <v>2.9444000000000008</v>
      </c>
      <c r="AB116" s="68">
        <v>3.0692000000000021</v>
      </c>
      <c r="AC116" s="68">
        <v>2.5725000000000011</v>
      </c>
      <c r="AD116" s="68">
        <v>2.6064285714285709</v>
      </c>
      <c r="AE116" s="68">
        <v>2.69</v>
      </c>
      <c r="AF116" s="68">
        <f>IF($Z$3="yes", 0.0045440063751594/$X116, 0.0045440063751594)</f>
        <v>1.689221700802751E-3</v>
      </c>
      <c r="AG116" s="68">
        <f>IF($Z$3="yes", -0.00271412481248139/$X116, -0.00271412481248139)</f>
        <v>-1.0089683317774684E-3</v>
      </c>
      <c r="AH116" s="68">
        <f>IF($Z$3="yes", -0.0283908763505407/$X116, -0.0283908763505407)</f>
        <v>-1.0554229126595056E-2</v>
      </c>
      <c r="AI116" s="68">
        <f>IF($Z$3="yes", -0.0267102040816332/$X116, -0.0267102040816332)</f>
        <v>-9.9294438965179185E-3</v>
      </c>
      <c r="AJ116" s="68">
        <f>IF($Z$3="yes", 0.0137518796992476/$X116, 0.0137518796992476)</f>
        <v>5.1122229365232717E-3</v>
      </c>
      <c r="AK116" s="68">
        <f>IF($Z$3="yes", 0.0158461538461516/$X116, 0.0158461538461516)</f>
        <v>5.8907635115805204E-3</v>
      </c>
      <c r="AL116" s="68">
        <f>IF($Z$3="yes", -0.0216666666666659/$X116, -0.0216666666666659)</f>
        <v>-8.0545229244111151E-3</v>
      </c>
      <c r="AM116" s="68">
        <f>IF($Z$3="yes", 0.395388500000001/$X116, 0.395388500000001)</f>
        <v>0.14698457249070668</v>
      </c>
      <c r="AN116" s="68">
        <f>IF($Z$3="yes", 0.306239500000002/$X116, 0.306239500000002)</f>
        <v>0.11384368029739851</v>
      </c>
      <c r="AO116" s="68">
        <f>IF($Z$3="yes", 0.431039500000002/$X116, 0.431039500000002)</f>
        <v>0.16023773234200819</v>
      </c>
      <c r="AP116" s="68">
        <f>IF($Z$3="yes", 0.0656604999999985/$X116, 0.0656604999999985)</f>
        <v>2.4409107806690891E-2</v>
      </c>
      <c r="AQ116" s="68">
        <f>IF($Z$3="yes", 0.0317319285714279/$X116, 0.0317319285714279)</f>
        <v>1.1796255974508512E-2</v>
      </c>
      <c r="AR116" s="68">
        <f>IF($Z$3="yes", 0.0518395000000011/$X116, 0.0518395000000011)</f>
        <v>1.9271189591078475E-2</v>
      </c>
      <c r="AS116" s="68">
        <f>IF($Z$3="yes", 0.0891489999999999/$X116, 0.0891489999999999)</f>
        <v>3.3140892193308513E-2</v>
      </c>
      <c r="AT116" s="68">
        <f>IF($Z$3="yes", 0.0356510000000009/$X116, 0.0356510000000009)</f>
        <v>1.3253159851301448E-2</v>
      </c>
      <c r="AU116" s="88">
        <f>IF($Z$3="yes", 0.461049/$X116, 0.461049)</f>
        <v>0.17139368029739777</v>
      </c>
      <c r="AV116" s="88">
        <f>IF($Z$3="yes", 0.427120428571429/$X116, 0.427120428571429)</f>
        <v>0.15878082846521524</v>
      </c>
      <c r="AW116" s="88">
        <f>IF($Z$3="yes", 0.343549/$X116, 0.343549)</f>
        <v>0.12771338289962825</v>
      </c>
      <c r="AX116" s="88">
        <f>IF($Z$3="yes", 0.1248/$X116, 0.1248)</f>
        <v>4.6394052044609661E-2</v>
      </c>
      <c r="AY116" s="88">
        <f>IF($Z$3="yes", 0.496700000000001/$X116, 0.496700000000001)</f>
        <v>0.18464684014869925</v>
      </c>
      <c r="AZ116" s="88">
        <f>IF($Z$3="yes", 0.46277142857143/$X116, 0.46277142857143)</f>
        <v>0.17203398831651673</v>
      </c>
      <c r="BA116" s="88">
        <f>IF($Z$3="yes", 0.379200000000001/$X116, 0.379200000000001)</f>
        <v>0.14096654275092974</v>
      </c>
      <c r="BB116" s="88">
        <f>IF($Z$3="yes", 0.3719/$X116, 0.3719)</f>
        <v>0.13825278810408922</v>
      </c>
      <c r="BC116" s="88">
        <f>IF($Z$3="yes", 0.337971428571429/$X116, 0.337971428571429)</f>
        <v>0.1256399362719067</v>
      </c>
      <c r="BD116" s="88">
        <f>IF($Z$3="yes", 0.2544/$X116, 0.2544)</f>
        <v>9.4572490706319706E-2</v>
      </c>
      <c r="BE116" s="88">
        <f>IF($Z$3="yes", 0.0339285714285706/$X116, 0.0339285714285706)</f>
        <v>1.261285183218238E-2</v>
      </c>
      <c r="BF116" s="88">
        <f>IF($Z$3="yes", 0.117499999999999/$X116, 0.117499999999999)</f>
        <v>4.3680297397769144E-2</v>
      </c>
      <c r="BG116" s="88">
        <f>IF($Z$3="yes", 0.083571428571429/$X116, 0.083571428571429)</f>
        <v>3.106744556558699E-2</v>
      </c>
      <c r="BH116" s="88">
        <f>IF($Z$3="yes", 0.47123625170068/$X116, 0.47123625170068)</f>
        <v>0.17518076271400745</v>
      </c>
      <c r="BI116" s="68"/>
      <c r="BJ116" s="68"/>
      <c r="BK116" s="68">
        <f>IF($BL$3="yes", MAX(0, (71408 - 183389) / 123243.197667051), 183389)</f>
        <v>183389</v>
      </c>
      <c r="BL116" s="68">
        <f>IF($BL$3="yes", MAX(0, (71408 - 903462.4) / 1534296.91138718), 903462.4)</f>
        <v>903462.40000000002</v>
      </c>
      <c r="BM116" s="68">
        <f>IF($BL$3="yes", MAX(0, (71408 - 497588.2) / 1158899.5723605), 497588.2)</f>
        <v>497588.2</v>
      </c>
      <c r="BN116" s="68">
        <f>IF($BL$3="yes", MAX(0, (71408 - 2547930.68) / 14824617.4018331), 2547930.68)</f>
        <v>2547930.6800000002</v>
      </c>
      <c r="BO116" s="68">
        <f>IF($BL$3="yes", MAX(0, (71408 - 1383310.51) / 10548780.0952205), 1383310.51)</f>
        <v>1383310.51</v>
      </c>
      <c r="BP116" s="68">
        <f>IF($BL$3="yes", MAX(0, (71408 - 808994.62) / 7498316.56890504), 808994.62)</f>
        <v>808994.62</v>
      </c>
      <c r="BQ116" s="68">
        <v>50.266138682354431</v>
      </c>
      <c r="BR116" s="68"/>
      <c r="BS116" s="68"/>
      <c r="BT116" s="68">
        <v>-1820498.774435682</v>
      </c>
      <c r="BU116" s="68">
        <v>-58222.189921705518</v>
      </c>
      <c r="BV116" s="68">
        <f>IF($Z$3="yes", 0.284280005902591/$X116, 0.284280005902591)</f>
        <v>0.10568029959204127</v>
      </c>
      <c r="BW116" s="68">
        <f>IF($Z$3="yes", 0.369067996667199/$X116, 0.369067996667199)</f>
        <v>0.13719999876104053</v>
      </c>
      <c r="BX116" s="68">
        <f>$BW$116 - $BV$116</f>
        <v>3.1519699168999257E-2</v>
      </c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81"/>
      <c r="CR116" s="81"/>
      <c r="CS116" s="68"/>
      <c r="CT116" s="68"/>
      <c r="CU116" s="68"/>
    </row>
    <row r="117" spans="1:99" ht="15.75" customHeight="1" thickBot="1" x14ac:dyDescent="0.3">
      <c r="A117" s="84"/>
      <c r="B117" s="67" t="s">
        <v>128</v>
      </c>
      <c r="C117" s="83" t="s">
        <v>419</v>
      </c>
      <c r="D117" s="67" t="s">
        <v>420</v>
      </c>
      <c r="E117" s="67">
        <v>2</v>
      </c>
      <c r="F117" s="85">
        <v>2.75</v>
      </c>
      <c r="G117" s="313">
        <v>44335</v>
      </c>
      <c r="H117" s="317">
        <v>2.96</v>
      </c>
      <c r="I117" s="317">
        <v>3.7</v>
      </c>
      <c r="J117" s="313">
        <v>44389</v>
      </c>
      <c r="K117" s="91">
        <f t="shared" si="4"/>
        <v>7.6363636363636411E-2</v>
      </c>
      <c r="L117" s="92">
        <f t="shared" si="5"/>
        <v>0.34545454545454546</v>
      </c>
      <c r="M117" s="312">
        <v>44407</v>
      </c>
      <c r="N117" s="68"/>
      <c r="O117" s="291">
        <v>13465871</v>
      </c>
      <c r="P117" s="291">
        <v>7800000</v>
      </c>
      <c r="Q117" s="291">
        <v>54</v>
      </c>
      <c r="R117" s="68" t="s">
        <v>131</v>
      </c>
      <c r="S117" s="68" t="s">
        <v>157</v>
      </c>
      <c r="T117" s="67" t="s">
        <v>408</v>
      </c>
      <c r="U117" s="68">
        <v>1152</v>
      </c>
      <c r="V117" s="68">
        <v>92650</v>
      </c>
      <c r="W117" s="68"/>
      <c r="X117" s="68">
        <v>2.75</v>
      </c>
      <c r="Y117" s="68">
        <v>3.003375000000001</v>
      </c>
      <c r="Z117" s="68">
        <v>2.8426000000000049</v>
      </c>
      <c r="AA117" s="68">
        <v>2.743799999999998</v>
      </c>
      <c r="AB117" s="68">
        <v>2.751599999999998</v>
      </c>
      <c r="AC117" s="68">
        <v>2.5990000000000002</v>
      </c>
      <c r="AD117" s="68">
        <v>2.5957142857142852</v>
      </c>
      <c r="AE117" s="68">
        <v>2.5550000000000002</v>
      </c>
      <c r="AF117" s="68">
        <f>IF($Z$3="yes", -0.00325867021675544/$X117, -0.00325867021675544)</f>
        <v>-1.1849709879110692E-3</v>
      </c>
      <c r="AG117" s="68">
        <f>IF($Z$3="yes", -0.00409588958895984/$X117, -0.00409588958895984)</f>
        <v>-1.4894143959853965E-3</v>
      </c>
      <c r="AH117" s="68">
        <f>IF($Z$3="yes", -0.0101642256902756/$X117, -0.0101642256902756)</f>
        <v>-3.6960820691911271E-3</v>
      </c>
      <c r="AI117" s="68">
        <f>IF($Z$3="yes", -0.00282352941176425/$X117, -0.00282352941176425)</f>
        <v>-1.0267379679142726E-3</v>
      </c>
      <c r="AJ117" s="68">
        <f>IF($Z$3="yes", -0.000571428571428598/$X117, -0.000571428571428598)</f>
        <v>-2.0779220779221748E-4</v>
      </c>
      <c r="AK117" s="68">
        <f>IF($Z$3="yes", -0.000395604395605178/$X117, -0.000395604395605178)</f>
        <v>-1.4385614385642836E-4</v>
      </c>
      <c r="AL117" s="68">
        <f>IF($Z$3="yes", 0.0542857142857156/$X117, 0.0542857142857156)</f>
        <v>1.9740259740260221E-2</v>
      </c>
      <c r="AM117" s="68">
        <f>IF($Z$3="yes", 0.160774999999995/$X117, 0.160774999999995)</f>
        <v>5.8463636363634545E-2</v>
      </c>
      <c r="AN117" s="68">
        <f>IF($Z$3="yes", 0.259575000000002/$X117, 0.259575000000002)</f>
        <v>9.4390909090909816E-2</v>
      </c>
      <c r="AO117" s="68">
        <f>IF($Z$3="yes", 0.251775000000002/$X117, 0.251775000000002)</f>
        <v>9.1554545454546193E-2</v>
      </c>
      <c r="AP117" s="68">
        <f>IF($Z$3="yes", 0.404375/$X117, 0.404375)</f>
        <v>0.14704545454545453</v>
      </c>
      <c r="AQ117" s="68">
        <f>IF($Z$3="yes", 0.407660714285715/$X117, 0.407660714285715)</f>
        <v>0.14824025974026001</v>
      </c>
      <c r="AR117" s="68">
        <f>IF($Z$3="yes", 0.448375/$X117, 0.448375)</f>
        <v>0.16304545454545455</v>
      </c>
      <c r="AS117" s="68">
        <f>IF($Z$3="yes", 0.0988000000000064/$X117, 0.0988000000000064)</f>
        <v>3.5927272727275056E-2</v>
      </c>
      <c r="AT117" s="68">
        <f>IF($Z$3="yes", 0.0910000000000068/$X117, 0.0910000000000068)</f>
        <v>3.3090909090911565E-2</v>
      </c>
      <c r="AU117" s="88">
        <f>IF($Z$3="yes", 0.243600000000004/$X117, 0.243600000000004)</f>
        <v>8.8581818181819635E-2</v>
      </c>
      <c r="AV117" s="88">
        <f>IF($Z$3="yes", 0.246885714285719/$X117, 0.246885714285719)</f>
        <v>8.9776623376625092E-2</v>
      </c>
      <c r="AW117" s="88">
        <f>IF($Z$3="yes", 0.287600000000005/$X117, 0.287600000000005)</f>
        <v>0.10458181818182001</v>
      </c>
      <c r="AX117" s="88">
        <f>IF($Z$3="yes", 0.00779999999999958/$X117, 0.00779999999999958)</f>
        <v>2.8363636363634838E-3</v>
      </c>
      <c r="AY117" s="88">
        <f>IF($Z$3="yes", 0.152599999999997/$X117, 0.152599999999997)</f>
        <v>5.5490909090907994E-2</v>
      </c>
      <c r="AZ117" s="88">
        <f>IF($Z$3="yes", 0.155885714285712/$X117, 0.155885714285712)</f>
        <v>5.6685714285713451E-2</v>
      </c>
      <c r="BA117" s="88">
        <f>IF($Z$3="yes", 0.196599999999998/$X117, 0.196599999999998)</f>
        <v>7.1490909090908369E-2</v>
      </c>
      <c r="BB117" s="88">
        <f>IF($Z$3="yes", 0.144799999999998/$X117, 0.144799999999998)</f>
        <v>5.2654545454544732E-2</v>
      </c>
      <c r="BC117" s="88">
        <f>IF($Z$3="yes", 0.148085714285713/$X117, 0.148085714285713)</f>
        <v>5.3849350649350175E-2</v>
      </c>
      <c r="BD117" s="88">
        <f>IF($Z$3="yes", 0.188799999999998/$X117, 0.188799999999998)</f>
        <v>6.8654545454544733E-2</v>
      </c>
      <c r="BE117" s="88">
        <f>IF($Z$3="yes", 0.003285714285715/$X117, 0.003285714285715)</f>
        <v>1.1948051948054547E-3</v>
      </c>
      <c r="BF117" s="88">
        <f>IF($Z$3="yes", 0.0440000000000004/$X117, 0.0440000000000004)</f>
        <v>1.6000000000000146E-2</v>
      </c>
      <c r="BG117" s="88">
        <f>IF($Z$3="yes", 0.0407142857142854/$X117, 0.0407142857142854)</f>
        <v>1.4805194805194689E-2</v>
      </c>
      <c r="BH117" s="88">
        <f>IF($Z$3="yes", 0.414921768707483/$X117, 0.414921768707483)</f>
        <v>0.15088064316635744</v>
      </c>
      <c r="BI117" s="68"/>
      <c r="BJ117" s="68"/>
      <c r="BK117" s="68">
        <f>IF($BL$3="yes", MAX(0, (92650 - 68001.8) / 24845.9747436078), 68001.8)</f>
        <v>68001.8</v>
      </c>
      <c r="BL117" s="68">
        <f>IF($BL$3="yes", MAX(0, (92650 - 115397.7) / 81277.2164460004), 115397.7)</f>
        <v>115397.7</v>
      </c>
      <c r="BM117" s="68">
        <f>IF($BL$3="yes", MAX(0, (92650 - 81901.55) / 73058.9835704514), 81901.55)</f>
        <v>81901.55</v>
      </c>
      <c r="BN117" s="68">
        <f>IF($BL$3="yes", MAX(0, (92650 - 144005.04) / 125892.612539411), 144005.04)</f>
        <v>144005.04</v>
      </c>
      <c r="BO117" s="68">
        <f>IF($BL$3="yes", MAX(0, (92650 - 277257.88) / 454174.492361675), 277257.88)</f>
        <v>277257.88</v>
      </c>
      <c r="BP117" s="68">
        <f>IF($BL$3="yes", MAX(0, (92650 - 480347.515) / 982627.578821427), 480347.515)</f>
        <v>480347.51500000001</v>
      </c>
      <c r="BQ117" s="68">
        <v>57.096305621390272</v>
      </c>
      <c r="BR117" s="68"/>
      <c r="BS117" s="68"/>
      <c r="BT117" s="68">
        <v>-503973.148783179</v>
      </c>
      <c r="BU117" s="68">
        <v>8127.193043866544</v>
      </c>
      <c r="BV117" s="68">
        <f>IF($Z$3="yes", 0.168265616827641/$X117, 0.168265616827641)</f>
        <v>6.118749702823309E-2</v>
      </c>
      <c r="BW117" s="68">
        <f>IF($Z$3="yes", 0.222244882635318/$X117, 0.222244882635318)</f>
        <v>8.0816320958297452E-2</v>
      </c>
      <c r="BX117" s="68">
        <f>$BW$121 - $BV$121</f>
        <v>0.10738007249404583</v>
      </c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81"/>
      <c r="CR117" s="81"/>
      <c r="CS117" s="68"/>
      <c r="CT117" s="68"/>
      <c r="CU117" s="68"/>
    </row>
    <row r="118" spans="1:99" ht="15.75" customHeight="1" thickBot="1" x14ac:dyDescent="0.3">
      <c r="A118" s="84"/>
      <c r="B118" s="67" t="s">
        <v>128</v>
      </c>
      <c r="C118" s="83" t="s">
        <v>421</v>
      </c>
      <c r="D118" s="67" t="s">
        <v>422</v>
      </c>
      <c r="E118" s="67">
        <v>1</v>
      </c>
      <c r="F118" s="85">
        <v>4.26</v>
      </c>
      <c r="G118" s="313">
        <v>44335</v>
      </c>
      <c r="H118" s="317">
        <v>4.21</v>
      </c>
      <c r="I118" s="85">
        <v>5.4859999999999998</v>
      </c>
      <c r="J118" s="313">
        <v>44356</v>
      </c>
      <c r="K118" s="126">
        <f t="shared" si="4"/>
        <v>-1.1737089201877882E-2</v>
      </c>
      <c r="L118" s="171">
        <f t="shared" si="5"/>
        <v>0.28779342723004686</v>
      </c>
      <c r="M118" s="312">
        <v>44407</v>
      </c>
      <c r="N118" s="68"/>
      <c r="O118" s="291">
        <v>30851776</v>
      </c>
      <c r="P118" s="291">
        <v>11600000</v>
      </c>
      <c r="Q118" s="291">
        <v>21</v>
      </c>
      <c r="R118" s="68" t="s">
        <v>152</v>
      </c>
      <c r="S118" s="68" t="s">
        <v>148</v>
      </c>
      <c r="T118" s="68" t="s">
        <v>149</v>
      </c>
      <c r="U118" s="68">
        <v>16</v>
      </c>
      <c r="V118" s="68">
        <v>48476</v>
      </c>
      <c r="W118" s="68"/>
      <c r="X118" s="68">
        <v>4.29</v>
      </c>
      <c r="Y118" s="68">
        <v>4.707505499999999</v>
      </c>
      <c r="Z118" s="68">
        <v>5.6025999999999998</v>
      </c>
      <c r="AA118" s="68">
        <v>4.7967999999999993</v>
      </c>
      <c r="AB118" s="68">
        <v>5.0171999999999999</v>
      </c>
      <c r="AC118" s="68">
        <v>4.3505000000000003</v>
      </c>
      <c r="AD118" s="68">
        <v>4.273571428571433</v>
      </c>
      <c r="AE118" s="68">
        <v>4.2050000000000001</v>
      </c>
      <c r="AF118" s="68">
        <f>IF($Z$3="yes", 0.0148633189079727/$X118, 0.0148633189079727)</f>
        <v>3.4646431020915387E-3</v>
      </c>
      <c r="AG118" s="68">
        <f>IF($Z$3="yes", -0.0317471347134709/$X118, -0.0317471347134709)</f>
        <v>-7.400264501974568E-3</v>
      </c>
      <c r="AH118" s="68">
        <f>IF($Z$3="yes", -0.0338324129651858/$X118, -0.0338324129651858)</f>
        <v>-7.8863433485281582E-3</v>
      </c>
      <c r="AI118" s="68">
        <f>IF($Z$3="yes", -0.0283726290516204/$X118, -0.0283726290516204)</f>
        <v>-6.6136664455991607E-3</v>
      </c>
      <c r="AJ118" s="68">
        <f>IF($Z$3="yes", -0.0191052631578951/$X118, -0.0191052631578951)</f>
        <v>-4.4534412955466434E-3</v>
      </c>
      <c r="AK118" s="68">
        <f>IF($Z$3="yes", -0.0101758241758241/$X118, -0.0101758241758241)</f>
        <v>-2.3719869873715851E-3</v>
      </c>
      <c r="AL118" s="68">
        <f>IF($Z$3="yes", 0.0509523809523928/$X118, 0.0509523809523928)</f>
        <v>1.187701187701464E-2</v>
      </c>
      <c r="AM118" s="68">
        <f>IF($Z$3="yes", 0.8950945/$X118, 0.8950945)</f>
        <v>0.2086467365967366</v>
      </c>
      <c r="AN118" s="68">
        <f>IF($Z$3="yes", 0.0892945000000002/$X118, 0.0892945000000002)</f>
        <v>2.081456876456881E-2</v>
      </c>
      <c r="AO118" s="68">
        <f>IF($Z$3="yes", 0.3096945/$X118, 0.3096945)</f>
        <v>7.2189860139860132E-2</v>
      </c>
      <c r="AP118" s="68">
        <f>IF($Z$3="yes", 0.357005499999998/$X118, 0.357005499999998)</f>
        <v>8.32180652680648E-2</v>
      </c>
      <c r="AQ118" s="68">
        <f>IF($Z$3="yes", 0.433934071428566/$X118, 0.433934071428566)</f>
        <v>0.10115013320013193</v>
      </c>
      <c r="AR118" s="68">
        <f>IF($Z$3="yes", 0.502505499999998/$X118, 0.502505499999998)</f>
        <v>0.11713414918414873</v>
      </c>
      <c r="AS118" s="68">
        <f>IF($Z$3="yes", 0.8058/$X118, 0.8058)</f>
        <v>0.18783216783216783</v>
      </c>
      <c r="AT118" s="68">
        <f>IF($Z$3="yes", 0.585399999999999/$X118, 0.585399999999999)</f>
        <v>0.13645687645687624</v>
      </c>
      <c r="AU118" s="88">
        <f>IF($Z$3="yes", 1.25209999999999/$X118, 1.25209999999999)</f>
        <v>0.29186480186479952</v>
      </c>
      <c r="AV118" s="88">
        <f>IF($Z$3="yes", 1.32902857142856/$X118, 1.32902857142856)</f>
        <v>0.3097968697968671</v>
      </c>
      <c r="AW118" s="88">
        <f>IF($Z$3="yes", 1.39759999999999/$X118, 1.39759999999999)</f>
        <v>0.32578088578088343</v>
      </c>
      <c r="AX118" s="88">
        <f>IF($Z$3="yes", 0.2204/$X118, 0.2204)</f>
        <v>5.1375291375291378E-2</v>
      </c>
      <c r="AY118" s="88">
        <f>IF($Z$3="yes", 0.666699999999999/$X118, 0.666699999999999)</f>
        <v>0.15540792540792517</v>
      </c>
      <c r="AZ118" s="88">
        <f>IF($Z$3="yes", 0.743628571428566/$X118, 0.743628571428566)</f>
        <v>0.17333999333999206</v>
      </c>
      <c r="BA118" s="88">
        <f>IF($Z$3="yes", 0.812199999999999/$X118, 0.812199999999999)</f>
        <v>0.18932400932400908</v>
      </c>
      <c r="BB118" s="88">
        <f>IF($Z$3="yes", 0.446299999999999/$X118, 0.446299999999999)</f>
        <v>0.1040326340326338</v>
      </c>
      <c r="BC118" s="88">
        <f>IF($Z$3="yes", 0.523228571428566/$X118, 0.523228571428566)</f>
        <v>0.1219647019647007</v>
      </c>
      <c r="BD118" s="88">
        <f>IF($Z$3="yes", 0.591799999999999/$X118, 0.591799999999999)</f>
        <v>0.13794871794871771</v>
      </c>
      <c r="BE118" s="88">
        <f>IF($Z$3="yes", 0.0769285714285672/$X118, 0.0769285714285672)</f>
        <v>1.7932067932066944E-2</v>
      </c>
      <c r="BF118" s="88">
        <f>IF($Z$3="yes", 0.1455/$X118, 0.1455)</f>
        <v>3.3916083916083917E-2</v>
      </c>
      <c r="BG118" s="88">
        <f>IF($Z$3="yes", 0.0685714285714329/$X118, 0.0685714285714329)</f>
        <v>1.5984015984016994E-2</v>
      </c>
      <c r="BH118" s="88">
        <f>IF($Z$3="yes", 0.940328414965985/$X118, 0.940328414965985)</f>
        <v>0.21919077271934381</v>
      </c>
      <c r="BI118" s="68"/>
      <c r="BJ118" s="68"/>
      <c r="BK118" s="68">
        <f>IF($BL$3="yes", MAX(0, (48476 - 77586.6) / 22174.8412990938), 77586.6)</f>
        <v>77586.600000000006</v>
      </c>
      <c r="BL118" s="68">
        <f>IF($BL$3="yes", MAX(0, (48476 - 75875.2) / 34057.5172518491), 75875.2)</f>
        <v>75875.199999999997</v>
      </c>
      <c r="BM118" s="68">
        <f>IF($BL$3="yes", MAX(0, (48476 - 63847.75) / 30141.948981237), 63847.75)</f>
        <v>63847.75</v>
      </c>
      <c r="BN118" s="68">
        <f>IF($BL$3="yes", MAX(0, (48476 - 102858.4) / 69767.7814679526), 102858.4)</f>
        <v>102858.4</v>
      </c>
      <c r="BO118" s="68">
        <f>IF($BL$3="yes", MAX(0, (48476 - 213502.69) / 265170.813036491), 213502.69)</f>
        <v>213502.69</v>
      </c>
      <c r="BP118" s="68">
        <f>IF($BL$3="yes", MAX(0, (48476 - 937558.485) / 7336952.99260566), 937558.485)</f>
        <v>937558.48499999999</v>
      </c>
      <c r="BQ118" s="68">
        <v>47.002224681761163</v>
      </c>
      <c r="BR118" s="68"/>
      <c r="BS118" s="68"/>
      <c r="BT118" s="68">
        <v>258459.1774484257</v>
      </c>
      <c r="BU118" s="68">
        <v>20778.07683384241</v>
      </c>
      <c r="BV118" s="68">
        <f>IF($Z$3="yes", 0.313820659214359/$X118, 0.313820659214359)</f>
        <v>7.3151668814535886E-2</v>
      </c>
      <c r="BW118" s="68">
        <f>IF($Z$3="yes", 0.400057685668995/$X118, 0.400057685668995)</f>
        <v>9.3253539782982522E-2</v>
      </c>
      <c r="BX118" s="68">
        <f>$BW$119 - $BV$119</f>
        <v>1.9291416718303728E-2</v>
      </c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81"/>
      <c r="CR118" s="81"/>
      <c r="CS118" s="68"/>
      <c r="CT118" s="68"/>
      <c r="CU118" s="68"/>
    </row>
    <row r="119" spans="1:99" ht="15.75" customHeight="1" thickBot="1" x14ac:dyDescent="0.3">
      <c r="A119" s="84"/>
      <c r="B119" s="67" t="s">
        <v>128</v>
      </c>
      <c r="C119" s="83" t="s">
        <v>423</v>
      </c>
      <c r="D119" s="67" t="s">
        <v>424</v>
      </c>
      <c r="E119" s="67">
        <v>1</v>
      </c>
      <c r="F119" s="85">
        <v>6.2</v>
      </c>
      <c r="G119" s="313">
        <v>44335</v>
      </c>
      <c r="H119" s="317">
        <v>6.32</v>
      </c>
      <c r="I119" s="85">
        <v>7.258</v>
      </c>
      <c r="J119" s="313">
        <v>44337</v>
      </c>
      <c r="K119" s="91">
        <f t="shared" si="4"/>
        <v>1.9354838709677358E-2</v>
      </c>
      <c r="L119" s="170">
        <f t="shared" si="5"/>
        <v>0.17064516129032259</v>
      </c>
      <c r="M119" s="312">
        <v>44407</v>
      </c>
      <c r="N119" s="68"/>
      <c r="O119" s="291">
        <v>33315316</v>
      </c>
      <c r="P119" s="291">
        <v>12420000</v>
      </c>
      <c r="Q119" s="291">
        <v>2</v>
      </c>
      <c r="R119" s="68" t="s">
        <v>425</v>
      </c>
      <c r="S119" s="68" t="s">
        <v>148</v>
      </c>
      <c r="T119" s="68" t="s">
        <v>242</v>
      </c>
      <c r="U119" s="68">
        <v>40</v>
      </c>
      <c r="V119" s="68">
        <v>217412</v>
      </c>
      <c r="W119" s="68"/>
      <c r="X119" s="68">
        <v>6.2</v>
      </c>
      <c r="Y119" s="68">
        <v>5.9890259999999991</v>
      </c>
      <c r="Z119" s="68">
        <v>7.8195000000000006</v>
      </c>
      <c r="AA119" s="68">
        <v>7.8649999999999993</v>
      </c>
      <c r="AB119" s="68">
        <v>8.2910000000000004</v>
      </c>
      <c r="AC119" s="68">
        <v>6.7234999999999987</v>
      </c>
      <c r="AD119" s="68">
        <v>6.3835714285714307</v>
      </c>
      <c r="AE119" s="68">
        <v>6.1387500000000026</v>
      </c>
      <c r="AF119" s="68">
        <f>IF($Z$3="yes", 0.0296271713792845/$X119, 0.0296271713792845)</f>
        <v>4.7785760289168547E-3</v>
      </c>
      <c r="AG119" s="68">
        <f>IF($Z$3="yes", 0.00519321932193264/$X119, 0.00519321932193264)</f>
        <v>8.3761601966655485E-4</v>
      </c>
      <c r="AH119" s="68">
        <f>IF($Z$3="yes", -0.0544148859543817/$X119, -0.0544148859543817)</f>
        <v>-8.7765945087712426E-3</v>
      </c>
      <c r="AI119" s="68">
        <f>IF($Z$3="yes", -0.0194972388955585/$X119, -0.0194972388955585)</f>
        <v>-3.1447159508965318E-3</v>
      </c>
      <c r="AJ119" s="68">
        <f>IF($Z$3="yes", -0.101962406015037/$X119, -0.101962406015037)</f>
        <v>-1.6445549357264031E-2</v>
      </c>
      <c r="AK119" s="68">
        <f>IF($Z$3="yes", -0.0741758241758264/$X119, -0.0741758241758264)</f>
        <v>-1.1963842609004257E-2</v>
      </c>
      <c r="AL119" s="68">
        <f>IF($Z$3="yes", -0.0598809523809608/$X119, -0.0598809523809608)</f>
        <v>-9.658218125961418E-3</v>
      </c>
      <c r="AM119" s="68">
        <f>IF($Z$3="yes", 1.830474/$X119, 1.830474)</f>
        <v>0.29523774193548386</v>
      </c>
      <c r="AN119" s="68">
        <f>IF($Z$3="yes", 1.875974/$X119, 1.875974)</f>
        <v>0.3025764516129032</v>
      </c>
      <c r="AO119" s="68">
        <f>IF($Z$3="yes", 2.301974/$X119, 2.301974)</f>
        <v>0.37128612903225805</v>
      </c>
      <c r="AP119" s="68">
        <f>IF($Z$3="yes", 0.734473999999999/$X119, 0.734473999999999)</f>
        <v>0.11846354838709661</v>
      </c>
      <c r="AQ119" s="68">
        <f>IF($Z$3="yes", 0.394545428571431/$X119, 0.394545428571431)</f>
        <v>6.3636359447004992E-2</v>
      </c>
      <c r="AR119" s="68">
        <f>IF($Z$3="yes", 0.149724000000004/$X119, 0.149724000000004)</f>
        <v>2.414903225806516E-2</v>
      </c>
      <c r="AS119" s="68">
        <f>IF($Z$3="yes", 0.0454999999999987/$X119, 0.0454999999999987)</f>
        <v>7.3387096774191448E-3</v>
      </c>
      <c r="AT119" s="68">
        <f>IF($Z$3="yes", 0.471499999999999/$X119, 0.471499999999999)</f>
        <v>7.6048387096774028E-2</v>
      </c>
      <c r="AU119" s="88">
        <f>IF($Z$3="yes", 1.096/$X119, 1.096)</f>
        <v>0.17677419354838711</v>
      </c>
      <c r="AV119" s="88">
        <f>IF($Z$3="yes", 1.43592857142856/$X119, 1.43592857142856)</f>
        <v>0.23160138248847739</v>
      </c>
      <c r="AW119" s="88">
        <f>IF($Z$3="yes", 1.68074999999999/$X119, 1.68074999999999)</f>
        <v>0.27108870967741772</v>
      </c>
      <c r="AX119" s="88">
        <f>IF($Z$3="yes", 0.426000000000001/$X119, 0.426000000000001)</f>
        <v>6.8709677419354992E-2</v>
      </c>
      <c r="AY119" s="88">
        <f>IF($Z$3="yes", 1.5675/$X119, 1.5675)</f>
        <v>0.25282258064516128</v>
      </c>
      <c r="AZ119" s="88">
        <f>IF($Z$3="yes", 1.90742857142856/$X119, 1.90742857142856)</f>
        <v>0.30764976958525159</v>
      </c>
      <c r="BA119" s="88">
        <f>IF($Z$3="yes", 2.15224999999999/$X119, 2.15224999999999)</f>
        <v>0.34713709677419191</v>
      </c>
      <c r="BB119" s="88">
        <f>IF($Z$3="yes", 1.1415/$X119, 1.1415)</f>
        <v>0.18411290322580645</v>
      </c>
      <c r="BC119" s="88">
        <f>IF($Z$3="yes", 1.48142857142856/$X119, 1.48142857142856)</f>
        <v>0.23894009216589676</v>
      </c>
      <c r="BD119" s="88">
        <f>IF($Z$3="yes", 1.72624999999999/$X119, 1.72624999999999)</f>
        <v>0.27842741935483711</v>
      </c>
      <c r="BE119" s="88">
        <f>IF($Z$3="yes", 0.339928571428568/$X119, 0.339928571428568)</f>
        <v>5.4827188940091615E-2</v>
      </c>
      <c r="BF119" s="88">
        <f>IF($Z$3="yes", 0.584749999999995/$X119, 0.584749999999995)</f>
        <v>9.4314516129031453E-2</v>
      </c>
      <c r="BG119" s="88">
        <f>IF($Z$3="yes", 0.244821428571427/$X119, 0.244821428571427)</f>
        <v>3.9487327188939839E-2</v>
      </c>
      <c r="BH119" s="88">
        <f>IF($Z$3="yes", 1.54307497959183/$X119, 1.54307497959183)</f>
        <v>0.24888306122448869</v>
      </c>
      <c r="BI119" s="68"/>
      <c r="BJ119" s="68"/>
      <c r="BK119" s="68">
        <f>IF($BL$3="yes", MAX(0, (217412 - 349013.8) / 236951.637930105), 349013.8)</f>
        <v>349013.8</v>
      </c>
      <c r="BL119" s="68">
        <f>IF($BL$3="yes", MAX(0, (217412 - 306931.3) / 173602.781684539), 306931.3)</f>
        <v>306931.3</v>
      </c>
      <c r="BM119" s="68">
        <f>IF($BL$3="yes", MAX(0, (217412 - 377870.8) / 333717.18192035), 377870.8)</f>
        <v>377870.8</v>
      </c>
      <c r="BN119" s="68">
        <f>IF($BL$3="yes", MAX(0, (217412 - 306306.72) / 368138.632229003), 306306.72)</f>
        <v>306306.71999999997</v>
      </c>
      <c r="BO119" s="68">
        <f>IF($BL$3="yes", MAX(0, (217412 - 289454.49) / 288480.166676688), 289454.49)</f>
        <v>289454.49</v>
      </c>
      <c r="BP119" s="68">
        <f>IF($BL$3="yes", MAX(0, (217412 - 191674.65) / 230610.650451421), 191674.65)</f>
        <v>191674.65</v>
      </c>
      <c r="BQ119" s="68">
        <v>31.168449624707591</v>
      </c>
      <c r="BR119" s="68"/>
      <c r="BS119" s="68"/>
      <c r="BT119" s="68">
        <v>-425565.32469919638</v>
      </c>
      <c r="BU119" s="68">
        <v>-10289.60477649904</v>
      </c>
      <c r="BV119" s="68">
        <f>IF($Z$3="yes", 0.504903690558192/$X119, 0.504903690558192)</f>
        <v>8.1436079122289021E-2</v>
      </c>
      <c r="BW119" s="68">
        <f>IF($Z$3="yes", 0.624510474211675/$X119, 0.624510474211675)</f>
        <v>0.10072749584059275</v>
      </c>
      <c r="BX119" s="68">
        <f>$BW$117 - $BV$117</f>
        <v>1.9628823930064362E-2</v>
      </c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81"/>
      <c r="CR119" s="81"/>
      <c r="CS119" s="68"/>
      <c r="CT119" s="68"/>
      <c r="CU119" s="68"/>
    </row>
    <row r="120" spans="1:99" ht="15.75" customHeight="1" thickBot="1" x14ac:dyDescent="0.3">
      <c r="A120" s="84"/>
      <c r="B120" s="67" t="s">
        <v>128</v>
      </c>
      <c r="C120" s="83" t="s">
        <v>426</v>
      </c>
      <c r="D120" s="67" t="s">
        <v>427</v>
      </c>
      <c r="E120" s="67">
        <v>1</v>
      </c>
      <c r="F120" s="85">
        <v>2.5499999999999998</v>
      </c>
      <c r="G120" s="313">
        <v>44335</v>
      </c>
      <c r="H120" s="317">
        <v>2.84</v>
      </c>
      <c r="I120" s="317">
        <v>3.6099000000000001</v>
      </c>
      <c r="J120" s="313">
        <v>44378</v>
      </c>
      <c r="K120" s="105">
        <f t="shared" si="4"/>
        <v>0.11372549019607847</v>
      </c>
      <c r="L120" s="123">
        <f t="shared" si="5"/>
        <v>0.41564705882352948</v>
      </c>
      <c r="M120" s="312">
        <v>44407</v>
      </c>
      <c r="N120" s="68"/>
      <c r="O120" s="291">
        <v>14557435</v>
      </c>
      <c r="P120" s="291">
        <v>13050000</v>
      </c>
      <c r="Q120" s="291">
        <v>43</v>
      </c>
      <c r="R120" s="68" t="s">
        <v>131</v>
      </c>
      <c r="S120" s="68" t="s">
        <v>148</v>
      </c>
      <c r="T120" s="68" t="s">
        <v>428</v>
      </c>
      <c r="U120" s="68">
        <v>64</v>
      </c>
      <c r="V120" s="68">
        <v>236605</v>
      </c>
      <c r="W120" s="68"/>
      <c r="X120" s="68">
        <v>2.66</v>
      </c>
      <c r="Y120" s="68">
        <v>2.4987620000000001</v>
      </c>
      <c r="Z120" s="68">
        <v>3.6578499999999958</v>
      </c>
      <c r="AA120" s="68">
        <v>3.4341999999999988</v>
      </c>
      <c r="AB120" s="68">
        <v>3.7088000000000001</v>
      </c>
      <c r="AC120" s="68">
        <v>3.2974999999999999</v>
      </c>
      <c r="AD120" s="68">
        <v>3.2507142857142859</v>
      </c>
      <c r="AE120" s="68">
        <v>3.0625000000000009</v>
      </c>
      <c r="AF120" s="68">
        <f>IF($Z$3="yes", 0.0194399360984024/$X120, 0.0194399360984024)</f>
        <v>7.3082466535347359E-3</v>
      </c>
      <c r="AG120" s="68">
        <f>IF($Z$3="yes", -0.00117986798679828/$X120, -0.00117986798679828)</f>
        <v>-4.4355939353318797E-4</v>
      </c>
      <c r="AH120" s="68">
        <f>IF($Z$3="yes", -0.0077133253301321/$X120, -0.0077133253301321)</f>
        <v>-2.8997463647113153E-3</v>
      </c>
      <c r="AI120" s="68">
        <f>IF($Z$3="yes", -0.0211630252100842/$X120, -0.0211630252100842)</f>
        <v>-7.9560245150692467E-3</v>
      </c>
      <c r="AJ120" s="68">
        <f>IF($Z$3="yes", -0.0300977443609022/$X120, -0.0300977443609022)</f>
        <v>-1.1314941489060976E-2</v>
      </c>
      <c r="AK120" s="68">
        <f>IF($Z$3="yes", -0.0630109890109886/$X120, -0.0630109890109886)</f>
        <v>-2.3688341733454361E-2</v>
      </c>
      <c r="AL120" s="68">
        <f>IF($Z$3="yes", -0.0590476190476198/$X120, -0.0590476190476198)</f>
        <v>-2.2198353025420975E-2</v>
      </c>
      <c r="AM120" s="68">
        <f>IF($Z$3="yes", 1.15908799999999/$X120, 1.15908799999999)</f>
        <v>0.43574736842104883</v>
      </c>
      <c r="AN120" s="68">
        <f>IF($Z$3="yes", 0.935437999999999/$X120, 0.935437999999999)</f>
        <v>0.35166842105263119</v>
      </c>
      <c r="AO120" s="68">
        <f>IF($Z$3="yes", 1.210038/$X120, 1.210038)</f>
        <v>0.45490150375939847</v>
      </c>
      <c r="AP120" s="68">
        <f>IF($Z$3="yes", 0.798738/$X120, 0.798738)</f>
        <v>0.30027744360902253</v>
      </c>
      <c r="AQ120" s="68">
        <f>IF($Z$3="yes", 0.751952285714286/$X120, 0.751952285714286)</f>
        <v>0.28268882921589694</v>
      </c>
      <c r="AR120" s="68">
        <f>IF($Z$3="yes", 0.563738000000001/$X120, 0.563738000000001)</f>
        <v>0.21193157894736878</v>
      </c>
      <c r="AS120" s="68">
        <f>IF($Z$3="yes", 0.223649999999997/$X120, 0.223649999999997)</f>
        <v>8.4078947368419921E-2</v>
      </c>
      <c r="AT120" s="68">
        <f>IF($Z$3="yes", 0.0509500000000038/$X120, 0.0509500000000038)</f>
        <v>1.915413533834729E-2</v>
      </c>
      <c r="AU120" s="88">
        <f>IF($Z$3="yes", 0.360349999999995/$X120, 0.360349999999995)</f>
        <v>0.13546992481202819</v>
      </c>
      <c r="AV120" s="88">
        <f>IF($Z$3="yes", 0.40713571428571/$X120, 0.40713571428571)</f>
        <v>0.15305853920515414</v>
      </c>
      <c r="AW120" s="88">
        <f>IF($Z$3="yes", 0.595349999999994/$X120, 0.595349999999994)</f>
        <v>0.22381578947368197</v>
      </c>
      <c r="AX120" s="88">
        <f>IF($Z$3="yes", 0.2746/$X120, 0.2746)</f>
        <v>0.10323308270676691</v>
      </c>
      <c r="AY120" s="88">
        <f>IF($Z$3="yes", 0.411299999999999/$X120, 0.411299999999999)</f>
        <v>0.15462406015037555</v>
      </c>
      <c r="AZ120" s="88">
        <f>IF($Z$3="yes", 0.458085714285714/$X120, 0.458085714285714)</f>
        <v>0.17221267454350148</v>
      </c>
      <c r="BA120" s="88">
        <f>IF($Z$3="yes", 0.646299999999998/$X120, 0.646299999999998)</f>
        <v>0.24296992481202931</v>
      </c>
      <c r="BB120" s="88">
        <f>IF($Z$3="yes", 0.136699999999998/$X120, 0.136699999999998)</f>
        <v>5.1390977443608266E-2</v>
      </c>
      <c r="BC120" s="88">
        <f>IF($Z$3="yes", 0.183485714285713/$X120, 0.183485714285713)</f>
        <v>6.8979591836734203E-2</v>
      </c>
      <c r="BD120" s="88">
        <f>IF($Z$3="yes", 0.371699999999997/$X120, 0.371699999999997)</f>
        <v>0.13973684210526202</v>
      </c>
      <c r="BE120" s="88">
        <f>IF($Z$3="yes", 0.0467857142857144/$X120, 0.0467857142857144)</f>
        <v>1.7588614393125715E-2</v>
      </c>
      <c r="BF120" s="88">
        <f>IF($Z$3="yes", 0.234999999999999/$X120, 0.234999999999999)</f>
        <v>8.8345864661653756E-2</v>
      </c>
      <c r="BG120" s="88">
        <f>IF($Z$3="yes", 0.188214285714284/$X120, 0.188214285714284)</f>
        <v>7.0757250268527819E-2</v>
      </c>
      <c r="BH120" s="88">
        <f>IF($Z$3="yes", 0.677489891156461/$X120, 0.677489891156461)</f>
        <v>0.25469544780318082</v>
      </c>
      <c r="BI120" s="68"/>
      <c r="BJ120" s="68"/>
      <c r="BK120" s="68">
        <f>IF($BL$3="yes", MAX(0, (236605 - 97562) / 76104.1132869965), 97562)</f>
        <v>97562</v>
      </c>
      <c r="BL120" s="68">
        <f>IF($BL$3="yes", MAX(0, (236605 - 69963) / 61552.7545524974), 69963)</f>
        <v>69963</v>
      </c>
      <c r="BM120" s="68">
        <f>IF($BL$3="yes", MAX(0, (236605 - 59507.45) / 47050.8069850826), 59507.45)</f>
        <v>59507.45</v>
      </c>
      <c r="BN120" s="68">
        <f>IF($BL$3="yes", MAX(0, (236605 - 91609.54) / 78362.3956770618), 91609.54)</f>
        <v>91609.54</v>
      </c>
      <c r="BO120" s="68">
        <f>IF($BL$3="yes", MAX(0, (236605 - 164472.91) / 223291.907321877), 164472.91)</f>
        <v>164472.91</v>
      </c>
      <c r="BP120" s="68">
        <f>IF($BL$3="yes", MAX(0, (236605 - 174373.87) / 281396.235514964), 174373.87)</f>
        <v>174373.87</v>
      </c>
      <c r="BQ120" s="68">
        <v>34.823691306972663</v>
      </c>
      <c r="BR120" s="68"/>
      <c r="BS120" s="68"/>
      <c r="BT120" s="68">
        <v>-211635.64987795521</v>
      </c>
      <c r="BU120" s="68">
        <v>-53103.461961540539</v>
      </c>
      <c r="BV120" s="68">
        <f>IF($Z$3="yes", 0.268613508293943/$X120, 0.268613508293943)</f>
        <v>0.10098252191501615</v>
      </c>
      <c r="BW120" s="68">
        <f>IF($Z$3="yes", 0.360363663338499/$X120, 0.360363663338499)</f>
        <v>0.13547506140545074</v>
      </c>
      <c r="BX120" s="68">
        <f>$BW$118 - $BV$118</f>
        <v>2.0101870968446636E-2</v>
      </c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81"/>
      <c r="CR120" s="81"/>
      <c r="CS120" s="68"/>
      <c r="CT120" s="68"/>
      <c r="CU120" s="68"/>
    </row>
    <row r="121" spans="1:99" ht="15.75" customHeight="1" thickBot="1" x14ac:dyDescent="0.3">
      <c r="A121" s="84"/>
      <c r="B121" s="67" t="s">
        <v>181</v>
      </c>
      <c r="C121" s="83" t="s">
        <v>429</v>
      </c>
      <c r="D121" s="67" t="s">
        <v>430</v>
      </c>
      <c r="E121" s="67">
        <v>1</v>
      </c>
      <c r="F121" s="85">
        <v>0.01</v>
      </c>
      <c r="G121" s="313">
        <v>44335</v>
      </c>
      <c r="H121" s="317">
        <v>3.7000000000000002E-3</v>
      </c>
      <c r="I121" s="317">
        <v>1.3599999999999999E-2</v>
      </c>
      <c r="J121" s="313">
        <v>44340</v>
      </c>
      <c r="K121" s="172">
        <f t="shared" si="4"/>
        <v>-0.63</v>
      </c>
      <c r="L121" s="153">
        <f t="shared" si="5"/>
        <v>0.35999999999999988</v>
      </c>
      <c r="M121" s="312">
        <v>44407</v>
      </c>
      <c r="N121" s="68"/>
      <c r="O121" s="68">
        <v>5060155892</v>
      </c>
      <c r="P121" s="68"/>
      <c r="Q121" s="68">
        <v>5</v>
      </c>
      <c r="R121" s="68"/>
      <c r="S121" s="68"/>
      <c r="T121" s="68"/>
      <c r="U121" s="68">
        <v>0</v>
      </c>
      <c r="V121" s="68">
        <v>1817882</v>
      </c>
      <c r="W121" s="68"/>
      <c r="X121" s="68">
        <v>9.5999999999999992E-3</v>
      </c>
      <c r="Y121" s="68">
        <v>8.2885000000000007E-3</v>
      </c>
      <c r="Z121" s="68">
        <v>1.4666999999999999E-2</v>
      </c>
      <c r="AA121" s="68">
        <v>9.5760000000000046E-3</v>
      </c>
      <c r="AB121" s="68">
        <v>1.021800000000001E-2</v>
      </c>
      <c r="AC121" s="68">
        <v>1.0035000000000001E-2</v>
      </c>
      <c r="AD121" s="68">
        <v>9.5214285714285713E-3</v>
      </c>
      <c r="AE121" s="68">
        <v>9.4749999999999956E-3</v>
      </c>
      <c r="AF121" s="68">
        <f>IF($Z$3="yes", 0.0000788945473636843/$X121, 0.0000788945473636843)</f>
        <v>8.2181820170504488E-3</v>
      </c>
      <c r="AG121" s="68">
        <f>IF($Z$3="yes", -0.000160945094509449/$X121, -0.000160945094509449)</f>
        <v>-1.676511401140094E-2</v>
      </c>
      <c r="AH121" s="68">
        <f>IF($Z$3="yes", 0.0000154525810324093/$X121, 0.0000154525810324093)</f>
        <v>1.6096438575426354E-3</v>
      </c>
      <c r="AI121" s="68">
        <f>IF($Z$3="yes", -0.0000434429771908793/$X121, -0.0000434429771908793)</f>
        <v>-4.5253101240499277E-3</v>
      </c>
      <c r="AJ121" s="68">
        <f>IF($Z$3="yes", -0.00011676691729323/$X121, -0.00011676691729323)</f>
        <v>-1.2163220551378126E-2</v>
      </c>
      <c r="AK121" s="68">
        <f>IF($Z$3="yes", -0.0000292307692307658/$X121, -0.0000292307692307658)</f>
        <v>-3.0448717948714375E-3</v>
      </c>
      <c r="AL121" s="68">
        <f>IF($Z$3="yes", 0.0000523809523809532/$X121, 0.0000523809523809532)</f>
        <v>5.4563492063492919E-3</v>
      </c>
      <c r="AM121" s="68">
        <f>IF($Z$3="yes", 0.00637849999999999/$X121, 0.00637849999999999)</f>
        <v>0.66442708333333234</v>
      </c>
      <c r="AN121" s="68">
        <f>IF($Z$3="yes", 0.0012875/$X121, 0.0012875)</f>
        <v>0.13411458333333334</v>
      </c>
      <c r="AO121" s="68">
        <f>IF($Z$3="yes", 0.0019295/$X121, 0.0019295)</f>
        <v>0.20098958333333336</v>
      </c>
      <c r="AP121" s="68">
        <f>IF($Z$3="yes", 0.00174649999999999/$X121, 0.00174649999999999)</f>
        <v>0.18192708333333232</v>
      </c>
      <c r="AQ121" s="68">
        <f>IF($Z$3="yes", 0.00123292857142857/$X121, 0.00123292857142857)</f>
        <v>0.12843005952380937</v>
      </c>
      <c r="AR121" s="68">
        <f>IF($Z$3="yes", 0.00118649999999999/$X121, 0.00118649999999999)</f>
        <v>0.12359374999999898</v>
      </c>
      <c r="AS121" s="68">
        <f>IF($Z$3="yes", 0.00509099999999999/$X121, 0.00509099999999999)</f>
        <v>0.53031249999999897</v>
      </c>
      <c r="AT121" s="68">
        <f>IF($Z$3="yes", 0.00444899999999999/$X121, 0.00444899999999999)</f>
        <v>0.463437499999999</v>
      </c>
      <c r="AU121" s="88">
        <f>IF($Z$3="yes", 0.00463199999999999/$X121, 0.00463199999999999)</f>
        <v>0.48249999999999904</v>
      </c>
      <c r="AV121" s="88">
        <f>IF($Z$3="yes", 0.00514557142857142/$X121, 0.00514557142857142)</f>
        <v>0.53599702380952297</v>
      </c>
      <c r="AW121" s="88">
        <f>IF($Z$3="yes", 0.005192/$X121, 0.005192)</f>
        <v>0.54083333333333339</v>
      </c>
      <c r="AX121" s="88">
        <f>IF($Z$3="yes", 0.000642000000000001/$X121, 0.000642000000000001)</f>
        <v>6.6875000000000101E-2</v>
      </c>
      <c r="AY121" s="88">
        <f>IF($Z$3="yes", 0.000183000000000006/$X121, 0.000183000000000006)</f>
        <v>1.9062500000000628E-2</v>
      </c>
      <c r="AZ121" s="88">
        <f>IF($Z$3="yes", 0.000696571428571435/$X121, 0.000696571428571435)</f>
        <v>7.2559523809524476E-2</v>
      </c>
      <c r="BA121" s="88">
        <f>IF($Z$3="yes", 0.000743000000000011/$X121, 0.000743000000000011)</f>
        <v>7.7395833333334482E-2</v>
      </c>
      <c r="BB121" s="88">
        <f>IF($Z$3="yes", 0.000458999999999995/$X121, 0.000458999999999995)</f>
        <v>4.781249999999948E-2</v>
      </c>
      <c r="BC121" s="88">
        <f>IF($Z$3="yes", 0.0000545714285714333/$X121, 0.0000545714285714333)</f>
        <v>5.684523809524303E-3</v>
      </c>
      <c r="BD121" s="88">
        <f>IF($Z$3="yes", 0.000101000000000009/$X121, 0.000101000000000009)</f>
        <v>1.0520833333334272E-2</v>
      </c>
      <c r="BE121" s="88">
        <f>IF($Z$3="yes", 0.000513571428571429/$X121, 0.000513571428571429)</f>
        <v>5.3497023809523855E-2</v>
      </c>
      <c r="BF121" s="88">
        <f>IF($Z$3="yes", 0.000560000000000004/$X121, 0.000560000000000004)</f>
        <v>5.8333333333333751E-2</v>
      </c>
      <c r="BG121" s="88">
        <f>IF($Z$3="yes", 0.0000464285714285757/$X121, 0.0000464285714285757)</f>
        <v>4.8363095238099689E-3</v>
      </c>
      <c r="BH121" s="88">
        <f>IF($Z$3="yes", 0.0025524081632653/$X121, 0.0025524081632653)</f>
        <v>0.26587585034013544</v>
      </c>
      <c r="BI121" s="68"/>
      <c r="BJ121" s="68"/>
      <c r="BK121" s="68">
        <f>IF($BL$3="yes", MAX(0, (1817882 - 2526583.8) / 528570.304152399), 2526583.8)</f>
        <v>2526583.7999999998</v>
      </c>
      <c r="BL121" s="68">
        <f>IF($BL$3="yes", MAX(0, (1817882 - 2164271) / 570566.956482409), 2164271)</f>
        <v>2164271</v>
      </c>
      <c r="BM121" s="68">
        <f>IF($BL$3="yes", MAX(0, (1817882 - 3131591.15) / 1945372.97597176), 3131591.15)</f>
        <v>3131591.15</v>
      </c>
      <c r="BN121" s="68">
        <f>IF($BL$3="yes", MAX(0, (1817882 - 5944851.72) / 6695672.3227701), 5944851.72)</f>
        <v>5944851.7199999997</v>
      </c>
      <c r="BO121" s="68">
        <f>IF($BL$3="yes", MAX(0, (1817882 - 11324309.76) / 11335295.4434633), 11324309.76)</f>
        <v>11324309.76</v>
      </c>
      <c r="BP121" s="68">
        <f>IF($BL$3="yes", MAX(0, (1817882 - 13845994.205) / 22143723.4455219), 13845994.205)</f>
        <v>13845994.205</v>
      </c>
      <c r="BQ121" s="68">
        <v>53.823327759248308</v>
      </c>
      <c r="BR121" s="68"/>
      <c r="BS121" s="68"/>
      <c r="BT121" s="68">
        <v>-21274591.461760171</v>
      </c>
      <c r="BU121" s="68">
        <v>814808.90333681554</v>
      </c>
      <c r="BV121" s="68">
        <f>IF($Z$3="yes", 0.00227024922440703/$X121, 0.00227024922440703)</f>
        <v>0.23648429420906567</v>
      </c>
      <c r="BW121" s="68">
        <f>IF($Z$3="yes", 0.00330109792034987/$X121, 0.00330109792034987)</f>
        <v>0.34386436670311149</v>
      </c>
      <c r="BX121" s="68">
        <f>$BW$120 - $BV$120</f>
        <v>3.4492539490434584E-2</v>
      </c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81"/>
      <c r="CR121" s="81"/>
      <c r="CS121" s="68"/>
      <c r="CT121" s="68"/>
      <c r="CU121" s="68"/>
    </row>
    <row r="122" spans="1:99" ht="15.75" customHeight="1" thickBot="1" x14ac:dyDescent="0.3">
      <c r="A122" s="84"/>
      <c r="B122" s="67" t="s">
        <v>128</v>
      </c>
      <c r="C122" s="83" t="s">
        <v>431</v>
      </c>
      <c r="D122" s="67" t="s">
        <v>432</v>
      </c>
      <c r="E122" s="67">
        <v>1</v>
      </c>
      <c r="F122" s="85">
        <v>4.1900000000000004</v>
      </c>
      <c r="G122" s="313">
        <v>44334</v>
      </c>
      <c r="H122" s="317">
        <v>4.16</v>
      </c>
      <c r="I122" s="85">
        <v>5.95</v>
      </c>
      <c r="J122" s="313">
        <v>44370</v>
      </c>
      <c r="K122" s="171">
        <f t="shared" si="4"/>
        <v>-7.1599045346062429E-3</v>
      </c>
      <c r="L122" s="139">
        <f t="shared" si="5"/>
        <v>0.42004773269689721</v>
      </c>
      <c r="M122" s="312">
        <v>44407</v>
      </c>
      <c r="N122" s="68"/>
      <c r="O122" s="291">
        <v>9506419</v>
      </c>
      <c r="P122" s="291">
        <v>8510000</v>
      </c>
      <c r="Q122" s="291">
        <v>36</v>
      </c>
      <c r="R122" s="68" t="s">
        <v>131</v>
      </c>
      <c r="S122" s="68" t="s">
        <v>148</v>
      </c>
      <c r="T122" s="68" t="s">
        <v>154</v>
      </c>
      <c r="U122" s="68">
        <v>20</v>
      </c>
      <c r="V122" s="68">
        <v>75960</v>
      </c>
      <c r="W122" s="68"/>
      <c r="X122" s="68">
        <v>4.33</v>
      </c>
      <c r="Y122" s="68">
        <v>7.7889499999999936</v>
      </c>
      <c r="Z122" s="68">
        <v>6.1498000000000053</v>
      </c>
      <c r="AA122" s="68">
        <v>5.0205999999999982</v>
      </c>
      <c r="AB122" s="68">
        <v>5.5181999999999984</v>
      </c>
      <c r="AC122" s="68">
        <v>4.2529999999999992</v>
      </c>
      <c r="AD122" s="68">
        <v>4.1285714285714246</v>
      </c>
      <c r="AE122" s="68">
        <v>4.035000000000001</v>
      </c>
      <c r="AF122" s="68">
        <f>IF($Z$3="yes", -0.0370566339158475/$X122, -0.0370566339158475)</f>
        <v>-8.5581140683250578E-3</v>
      </c>
      <c r="AG122" s="68">
        <f>IF($Z$3="yes", -0.0421987398739871/$X122, -0.0421987398739871)</f>
        <v>-9.7456674073873196E-3</v>
      </c>
      <c r="AH122" s="68">
        <f>IF($Z$3="yes", -0.0591006002400953/$X122, -0.0591006002400953)</f>
        <v>-1.3649099362608615E-2</v>
      </c>
      <c r="AI122" s="68">
        <f>IF($Z$3="yes", -0.0610905162064821/$X122, -0.0610905162064821)</f>
        <v>-1.4108664250919653E-2</v>
      </c>
      <c r="AJ122" s="68">
        <f>IF($Z$3="yes", -0.0345864661654124/$X122, -0.0345864661654124)</f>
        <v>-7.9876365278088689E-3</v>
      </c>
      <c r="AK122" s="68">
        <f>IF($Z$3="yes", -0.0236483516483521/$X122, -0.0236483516483521)</f>
        <v>-5.4615130827602998E-3</v>
      </c>
      <c r="AL122" s="68">
        <f>IF($Z$3="yes", 0.0216666666666794/$X122, 0.0216666666666794)</f>
        <v>5.0038491147065588E-3</v>
      </c>
      <c r="AM122" s="68">
        <f>IF($Z$3="yes", 1.63914999999998/$X122, 1.63914999999998)</f>
        <v>0.37855658198613856</v>
      </c>
      <c r="AN122" s="68">
        <f>IF($Z$3="yes", 2.76834999999999/$X122, 2.76834999999999)</f>
        <v>0.63934180138567898</v>
      </c>
      <c r="AO122" s="68">
        <f>IF($Z$3="yes", 2.27074999999999/$X122, 2.27074999999999)</f>
        <v>0.52442263279445489</v>
      </c>
      <c r="AP122" s="68">
        <f>IF($Z$3="yes", 3.53594999999999/$X122, 3.53594999999999)</f>
        <v>0.81661662817551728</v>
      </c>
      <c r="AQ122" s="68">
        <f>IF($Z$3="yes", 3.66037857142856/$X122, 3.66037857142856)</f>
        <v>0.84535301880567204</v>
      </c>
      <c r="AR122" s="68">
        <f>IF($Z$3="yes", 3.75394999999999/$X122, 3.75394999999999)</f>
        <v>0.86696304849884287</v>
      </c>
      <c r="AS122" s="68">
        <f>IF($Z$3="yes", 1.1292/$X122, 1.1292)</f>
        <v>0.26078521939953808</v>
      </c>
      <c r="AT122" s="68">
        <f>IF($Z$3="yes", 0.631600000000006/$X122, 0.631600000000006)</f>
        <v>0.14586605080831549</v>
      </c>
      <c r="AU122" s="88">
        <f>IF($Z$3="yes", 1.8968/$X122, 1.8968)</f>
        <v>0.43806004618937644</v>
      </c>
      <c r="AV122" s="88">
        <f>IF($Z$3="yes", 2.02122857142858/$X122, 2.02122857142858)</f>
        <v>0.46679643681953342</v>
      </c>
      <c r="AW122" s="88">
        <f>IF($Z$3="yes", 2.1148/$X122, 2.1148)</f>
        <v>0.48840646651270203</v>
      </c>
      <c r="AX122" s="88">
        <f>IF($Z$3="yes", 0.4976/$X122, 0.4976)</f>
        <v>0.11491916859122402</v>
      </c>
      <c r="AY122" s="88">
        <f>IF($Z$3="yes", 1.26519999999999/$X122, 1.26519999999999)</f>
        <v>0.29219399538106006</v>
      </c>
      <c r="AZ122" s="88">
        <f>IF($Z$3="yes", 1.38962857142857/$X122, 1.38962857142857)</f>
        <v>0.32093038601121709</v>
      </c>
      <c r="BA122" s="88">
        <f>IF($Z$3="yes", 1.48319999999999/$X122, 1.48319999999999)</f>
        <v>0.3425404157043857</v>
      </c>
      <c r="BB122" s="88">
        <f>IF($Z$3="yes", 0.767599999999999/$X122, 0.767599999999999)</f>
        <v>0.17727482678983808</v>
      </c>
      <c r="BC122" s="88">
        <f>IF($Z$3="yes", 0.892028571428572/$X122, 0.892028571428572)</f>
        <v>0.20601121741999351</v>
      </c>
      <c r="BD122" s="88">
        <f>IF($Z$3="yes", 0.985599999999997/$X122, 0.985599999999997)</f>
        <v>0.22762124711316328</v>
      </c>
      <c r="BE122" s="88">
        <f>IF($Z$3="yes", 0.124428571428573/$X122, 0.124428571428573)</f>
        <v>2.8736390630155425E-2</v>
      </c>
      <c r="BF122" s="88">
        <f>IF($Z$3="yes", 0.217999999999998/$X122, 0.217999999999998)</f>
        <v>5.0346420323325175E-2</v>
      </c>
      <c r="BG122" s="88">
        <f>IF($Z$3="yes", 0.0935714285714244/$X122, 0.0935714285714244)</f>
        <v>2.1610029693169608E-2</v>
      </c>
      <c r="BH122" s="88">
        <f>IF($Z$3="yes", 1.75690884353741/$X122, 1.75690884353741)</f>
        <v>0.40575261975459814</v>
      </c>
      <c r="BI122" s="68"/>
      <c r="BJ122" s="68"/>
      <c r="BK122" s="68">
        <f>IF($BL$3="yes", MAX(0, (75960 - 52572.6) / 27103.4509728927), 52572.6)</f>
        <v>52572.6</v>
      </c>
      <c r="BL122" s="68">
        <f>IF($BL$3="yes", MAX(0, (75960 - 44684.7) / 21227.591846698), 44684.7)</f>
        <v>44684.7</v>
      </c>
      <c r="BM122" s="68">
        <f>IF($BL$3="yes", MAX(0, (75960 - 60028.45) / 43021.9793378628), 60028.45)</f>
        <v>60028.45</v>
      </c>
      <c r="BN122" s="68">
        <f>IF($BL$3="yes", MAX(0, (75960 - 73630.38) / 67218.9021674379), 73630.38)</f>
        <v>73630.38</v>
      </c>
      <c r="BO122" s="68">
        <f>IF($BL$3="yes", MAX(0, (75960 - 74395.51) / 71204.9388307433), 74395.51)</f>
        <v>74395.509999999995</v>
      </c>
      <c r="BP122" s="68">
        <f>IF($BL$3="yes", MAX(0, (75960 - 68788.06) / 64480.6720375679), 68788.06)</f>
        <v>68788.06</v>
      </c>
      <c r="BQ122" s="68">
        <v>42.953320910197952</v>
      </c>
      <c r="BR122" s="68"/>
      <c r="BS122" s="68"/>
      <c r="BT122" s="68">
        <v>-488449.6495251467</v>
      </c>
      <c r="BU122" s="68">
        <v>-9894.7861165663344</v>
      </c>
      <c r="BV122" s="68">
        <f>IF($Z$3="yes", 0.27155102562811/$X122, 0.27155102562811)</f>
        <v>6.2713862731665126E-2</v>
      </c>
      <c r="BW122" s="68">
        <f>IF($Z$3="yes", 0.410591227500043/$X122, 0.410591227500043)</f>
        <v>9.4824763856822869E-2</v>
      </c>
      <c r="BX122" s="68">
        <f>$BW$130 - $BV$130</f>
        <v>0.38273096843224036</v>
      </c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81"/>
      <c r="CR122" s="81"/>
      <c r="CS122" s="68"/>
      <c r="CT122" s="68"/>
      <c r="CU122" s="68"/>
    </row>
    <row r="123" spans="1:99" ht="15.75" customHeight="1" thickBot="1" x14ac:dyDescent="0.3">
      <c r="A123" s="84"/>
      <c r="B123" s="67" t="s">
        <v>128</v>
      </c>
      <c r="C123" s="83" t="s">
        <v>433</v>
      </c>
      <c r="D123" s="67" t="s">
        <v>434</v>
      </c>
      <c r="E123" s="67">
        <v>1</v>
      </c>
      <c r="F123" s="85">
        <v>4.5999999999999996</v>
      </c>
      <c r="G123" s="313">
        <v>44334</v>
      </c>
      <c r="H123" s="317">
        <v>4.2</v>
      </c>
      <c r="I123" s="317">
        <v>7</v>
      </c>
      <c r="J123" s="313">
        <v>44377</v>
      </c>
      <c r="K123" s="115">
        <f t="shared" si="4"/>
        <v>-8.6956521739130377E-2</v>
      </c>
      <c r="L123" s="178">
        <f t="shared" si="5"/>
        <v>0.52173913043478271</v>
      </c>
      <c r="M123" s="312">
        <v>44407</v>
      </c>
      <c r="N123" s="68"/>
      <c r="O123" s="291">
        <v>12563989</v>
      </c>
      <c r="P123" s="291">
        <v>10280000</v>
      </c>
      <c r="Q123" s="291">
        <v>43</v>
      </c>
      <c r="R123" s="68" t="s">
        <v>131</v>
      </c>
      <c r="S123" s="68" t="s">
        <v>148</v>
      </c>
      <c r="T123" s="68" t="s">
        <v>154</v>
      </c>
      <c r="U123" s="68">
        <v>124</v>
      </c>
      <c r="V123" s="68">
        <v>1559790</v>
      </c>
      <c r="W123" s="68"/>
      <c r="X123" s="68">
        <v>4.5999999999999996</v>
      </c>
      <c r="Y123" s="68">
        <v>5.5160215000000008</v>
      </c>
      <c r="Z123" s="68">
        <v>7.661999999999999</v>
      </c>
      <c r="AA123" s="68">
        <v>5.6612999999999989</v>
      </c>
      <c r="AB123" s="68">
        <v>6.8364999999999991</v>
      </c>
      <c r="AC123" s="68">
        <v>4.6792499999999988</v>
      </c>
      <c r="AD123" s="68">
        <v>4.5814285714285701</v>
      </c>
      <c r="AE123" s="68">
        <v>4.4137499999999994</v>
      </c>
      <c r="AF123" s="68">
        <f>IF($Z$3="yes", 0.0311930166504161/$X123, 0.0311930166504161)</f>
        <v>6.781090576177414E-3</v>
      </c>
      <c r="AG123" s="68">
        <f>IF($Z$3="yes", -0.055765916591659/$X123, -0.055765916591659)</f>
        <v>-1.2123025346012827E-2</v>
      </c>
      <c r="AH123" s="68">
        <f>IF($Z$3="yes", -0.0777202881152456/$X123, -0.0777202881152456)</f>
        <v>-1.6895714807662089E-2</v>
      </c>
      <c r="AI123" s="68">
        <f>IF($Z$3="yes", -0.133824969987994/$X123, -0.133824969987994)</f>
        <v>-2.90923847799987E-2</v>
      </c>
      <c r="AJ123" s="68">
        <f>IF($Z$3="yes", -0.0341917293233079/$X123, -0.0341917293233079)</f>
        <v>-7.4329846355017173E-3</v>
      </c>
      <c r="AK123" s="68">
        <f>IF($Z$3="yes", -0.0449670329670327/$X123, -0.0449670329670327)</f>
        <v>-9.775441949354936E-3</v>
      </c>
      <c r="AL123" s="68">
        <f>IF($Z$3="yes", 0.0336904761904773/$X123, 0.0336904761904773)</f>
        <v>7.3240165631472389E-3</v>
      </c>
      <c r="AM123" s="68">
        <f>IF($Z$3="yes", 2.14597849999999/$X123, 2.14597849999999)</f>
        <v>0.46651706521738912</v>
      </c>
      <c r="AN123" s="68">
        <f>IF($Z$3="yes", 0.145278499999998/$X123, 0.145278499999998)</f>
        <v>3.1582282608695222E-2</v>
      </c>
      <c r="AO123" s="68">
        <f>IF($Z$3="yes", 1.32047849999999/$X123, 1.32047849999999)</f>
        <v>0.28706054347825871</v>
      </c>
      <c r="AP123" s="68">
        <f>IF($Z$3="yes", 0.836771500000002/$X123, 0.836771500000002)</f>
        <v>0.1819068478260874</v>
      </c>
      <c r="AQ123" s="68">
        <f>IF($Z$3="yes", 0.93459292857143/$X123, 0.93459292857143)</f>
        <v>0.20317237577639782</v>
      </c>
      <c r="AR123" s="68">
        <f>IF($Z$3="yes", 1.1022715/$X123, 1.1022715)</f>
        <v>0.23962423913043482</v>
      </c>
      <c r="AS123" s="68">
        <f>IF($Z$3="yes", 2.0007/$X123, 2.0007)</f>
        <v>0.43493478260869572</v>
      </c>
      <c r="AT123" s="68">
        <f>IF($Z$3="yes", 0.825499999999999/$X123, 0.825499999999999)</f>
        <v>0.17945652173913024</v>
      </c>
      <c r="AU123" s="88">
        <f>IF($Z$3="yes", 2.98275/$X123, 2.98275)</f>
        <v>0.64842391304347824</v>
      </c>
      <c r="AV123" s="88">
        <f>IF($Z$3="yes", 3.08057142857142/$X123, 3.08057142857142)</f>
        <v>0.66968944099378702</v>
      </c>
      <c r="AW123" s="88">
        <f>IF($Z$3="yes", 3.24825/$X123, 3.24825)</f>
        <v>0.70614130434782618</v>
      </c>
      <c r="AX123" s="88">
        <f>IF($Z$3="yes", 1.1752/$X123, 1.1752)</f>
        <v>0.25547826086956527</v>
      </c>
      <c r="AY123" s="88">
        <f>IF($Z$3="yes", 2.15725/$X123, 2.15725)</f>
        <v>0.46896739130434784</v>
      </c>
      <c r="AZ123" s="88">
        <f>IF($Z$3="yes", 2.25507142857142/$X123, 2.25507142857142)</f>
        <v>0.49023291925465662</v>
      </c>
      <c r="BA123" s="88">
        <f>IF($Z$3="yes", 2.42275/$X123, 2.42275)</f>
        <v>0.52668478260869578</v>
      </c>
      <c r="BB123" s="88">
        <f>IF($Z$3="yes", 0.98205/$X123, 0.98205)</f>
        <v>0.21348913043478263</v>
      </c>
      <c r="BC123" s="88">
        <f>IF($Z$3="yes", 1.07987142857142/$X123, 1.07987142857142)</f>
        <v>0.2347546583850913</v>
      </c>
      <c r="BD123" s="88">
        <f>IF($Z$3="yes", 1.24755/$X123, 1.24755)</f>
        <v>0.27120652173913046</v>
      </c>
      <c r="BE123" s="88">
        <f>IF($Z$3="yes", 0.0978214285714287/$X123, 0.0978214285714287)</f>
        <v>2.1265527950310587E-2</v>
      </c>
      <c r="BF123" s="88">
        <f>IF($Z$3="yes", 0.2655/$X123, 0.2655)</f>
        <v>5.7717391304347831E-2</v>
      </c>
      <c r="BG123" s="88">
        <f>IF($Z$3="yes", 0.167678571428571/$X123, 0.167678571428571)</f>
        <v>3.6451863354037176E-2</v>
      </c>
      <c r="BH123" s="88">
        <f>IF($Z$3="yes", 1.7703717755102/$X123, 1.7703717755102)</f>
        <v>0.38486342945873914</v>
      </c>
      <c r="BI123" s="68"/>
      <c r="BJ123" s="68"/>
      <c r="BK123" s="68">
        <f>IF($BL$3="yes", MAX(0, (1559790 - 735352) / 504992.379833201), 735352)</f>
        <v>735352</v>
      </c>
      <c r="BL123" s="68">
        <f>IF($BL$3="yes", MAX(0, (1559790 - 538275.5) / 429803.991019685), 538275.5)</f>
        <v>538275.5</v>
      </c>
      <c r="BM123" s="68">
        <f>IF($BL$3="yes", MAX(0, (1559790 - 386909.7) / 342373.265861851), 386909.7)</f>
        <v>386909.7</v>
      </c>
      <c r="BN123" s="68">
        <f>IF($BL$3="yes", MAX(0, (1559790 - 565474.86) / 789585.905586922), 565474.86)</f>
        <v>565474.86</v>
      </c>
      <c r="BO123" s="68">
        <f>IF($BL$3="yes", MAX(0, (1559790 - 331748.54) / 606815.582967352), 331748.54)</f>
        <v>331748.53999999998</v>
      </c>
      <c r="BP123" s="68">
        <f>IF($BL$3="yes", MAX(0, (1559790 - 199339.46) / 453086.62912923), 199339.46)</f>
        <v>199339.46</v>
      </c>
      <c r="BQ123" s="68">
        <v>40.34789439499977</v>
      </c>
      <c r="BR123" s="68"/>
      <c r="BS123" s="68"/>
      <c r="BT123" s="68">
        <v>-1140499.0445173371</v>
      </c>
      <c r="BU123" s="68">
        <v>-19584.607902142568</v>
      </c>
      <c r="BV123" s="68">
        <f>IF($Z$3="yes", 0.453595234588108/$X123, 0.453595234588108)</f>
        <v>9.8607659693066965E-2</v>
      </c>
      <c r="BW123" s="68">
        <f>IF($Z$3="yes", 0.744148658128889/$X123, 0.744148658128889)</f>
        <v>0.1617714474193237</v>
      </c>
      <c r="BX123" s="68">
        <f>$BW$128 - $BV$128</f>
        <v>0.36886330233504244</v>
      </c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81"/>
      <c r="CR123" s="81"/>
      <c r="CS123" s="68"/>
      <c r="CT123" s="68"/>
      <c r="CU123" s="68"/>
    </row>
    <row r="124" spans="1:99" ht="15.75" customHeight="1" thickBot="1" x14ac:dyDescent="0.3">
      <c r="A124" s="84"/>
      <c r="B124" s="67" t="s">
        <v>128</v>
      </c>
      <c r="C124" s="83" t="s">
        <v>435</v>
      </c>
      <c r="D124" s="67" t="s">
        <v>436</v>
      </c>
      <c r="E124" s="67">
        <v>2</v>
      </c>
      <c r="F124" s="85">
        <v>1.62</v>
      </c>
      <c r="G124" s="313">
        <v>44334</v>
      </c>
      <c r="H124" s="317">
        <v>1.52</v>
      </c>
      <c r="I124" s="317">
        <v>1.92</v>
      </c>
      <c r="J124" s="313">
        <v>44383</v>
      </c>
      <c r="K124" s="89">
        <f t="shared" si="4"/>
        <v>-6.1728395061728447E-2</v>
      </c>
      <c r="L124" s="121">
        <f t="shared" si="5"/>
        <v>0.18518518518518512</v>
      </c>
      <c r="M124" s="312">
        <v>44407</v>
      </c>
      <c r="N124" s="68"/>
      <c r="O124" s="291">
        <v>12184997</v>
      </c>
      <c r="P124" s="291">
        <v>11550000</v>
      </c>
      <c r="Q124" s="291">
        <v>49</v>
      </c>
      <c r="R124" s="68" t="s">
        <v>131</v>
      </c>
      <c r="S124" s="68" t="s">
        <v>148</v>
      </c>
      <c r="T124" s="68" t="s">
        <v>437</v>
      </c>
      <c r="U124" s="68">
        <v>84</v>
      </c>
      <c r="V124" s="68">
        <v>336520</v>
      </c>
      <c r="W124" s="68"/>
      <c r="X124" s="68">
        <v>1.62</v>
      </c>
      <c r="Y124" s="68">
        <v>1.7031369999999999</v>
      </c>
      <c r="Z124" s="68">
        <v>1.7915760000000001</v>
      </c>
      <c r="AA124" s="68">
        <v>1.6513999999999991</v>
      </c>
      <c r="AB124" s="68">
        <v>1.6990519999999989</v>
      </c>
      <c r="AC124" s="68">
        <v>1.559500000000001</v>
      </c>
      <c r="AD124" s="68">
        <v>1.534999999999999</v>
      </c>
      <c r="AE124" s="68">
        <v>1.5187499999999989</v>
      </c>
      <c r="AF124" s="68">
        <f>IF($Z$3="yes", 0.000332753918847978/$X124, 0.000332753918847978)</f>
        <v>2.0540365360986295E-4</v>
      </c>
      <c r="AG124" s="68">
        <f>IF($Z$3="yes", -0.00486518331833169/$X124, -0.00486518331833169)</f>
        <v>-3.0031995792170925E-3</v>
      </c>
      <c r="AH124" s="68">
        <f>IF($Z$3="yes", -0.00675486194477791/$X124, -0.00675486194477791)</f>
        <v>-4.1696678671468571E-3</v>
      </c>
      <c r="AI124" s="68">
        <f>IF($Z$3="yes", -0.00554601680672255/$X124, -0.00554601680672255)</f>
        <v>-3.4234671646435491E-3</v>
      </c>
      <c r="AJ124" s="68">
        <f>IF($Z$3="yes", -0.00627819548872166/$X124, -0.00627819548872166)</f>
        <v>-3.8754293140257157E-3</v>
      </c>
      <c r="AK124" s="68">
        <f>IF($Z$3="yes", -0.00503296703296666/$X124, -0.00503296703296666)</f>
        <v>-3.1067697734362097E-3</v>
      </c>
      <c r="AL124" s="68">
        <f>IF($Z$3="yes", 0.00178571428571333/$X124, 0.00178571428571333)</f>
        <v>1.1022927689588455E-3</v>
      </c>
      <c r="AM124" s="68">
        <f>IF($Z$3="yes", 0.0884390000000001/$X124, 0.0884390000000001)</f>
        <v>5.4591975308642036E-2</v>
      </c>
      <c r="AN124" s="68">
        <f>IF($Z$3="yes", 0.0517370000000003/$X124, 0.0517370000000003)</f>
        <v>3.1936419753086601E-2</v>
      </c>
      <c r="AO124" s="68">
        <f>IF($Z$3="yes", 0.004085000000001/$X124, 0.004085000000001)</f>
        <v>2.5216049382722223E-3</v>
      </c>
      <c r="AP124" s="68">
        <f>IF($Z$3="yes", 0.143636999999998/$X124, 0.143636999999998)</f>
        <v>8.8664814814813572E-2</v>
      </c>
      <c r="AQ124" s="68">
        <f>IF($Z$3="yes", 0.168137/$X124, 0.168137)</f>
        <v>0.10378827160493827</v>
      </c>
      <c r="AR124" s="68">
        <f>IF($Z$3="yes", 0.184387/$X124, 0.184387)</f>
        <v>0.11381913580246912</v>
      </c>
      <c r="AS124" s="68">
        <f>IF($Z$3="yes", 0.140176/$X124, 0.140176)</f>
        <v>8.652839506172838E-2</v>
      </c>
      <c r="AT124" s="68">
        <f>IF($Z$3="yes", 0.0925240000000011/$X124, 0.0925240000000011)</f>
        <v>5.7113580246914257E-2</v>
      </c>
      <c r="AU124" s="88">
        <f>IF($Z$3="yes", 0.232075999999999/$X124, 0.232075999999999)</f>
        <v>0.14325679012345616</v>
      </c>
      <c r="AV124" s="88">
        <f>IF($Z$3="yes", 0.256576/$X124, 0.256576)</f>
        <v>0.15838024691358024</v>
      </c>
      <c r="AW124" s="88">
        <f>IF($Z$3="yes", 0.272826/$X124, 0.272826)</f>
        <v>0.16841111111111109</v>
      </c>
      <c r="AX124" s="88">
        <f>IF($Z$3="yes", 0.0476519999999993/$X124, 0.0476519999999993)</f>
        <v>2.941481481481438E-2</v>
      </c>
      <c r="AY124" s="88">
        <f>IF($Z$3="yes", 0.139551999999997/$X124, 0.139551999999997)</f>
        <v>8.6143209876541366E-2</v>
      </c>
      <c r="AZ124" s="88">
        <f>IF($Z$3="yes", 0.164051999999999/$X124, 0.164051999999999)</f>
        <v>0.10126666666666605</v>
      </c>
      <c r="BA124" s="88">
        <f>IF($Z$3="yes", 0.180301999999999/$X124, 0.180301999999999)</f>
        <v>0.1112975308641969</v>
      </c>
      <c r="BB124" s="88">
        <f>IF($Z$3="yes", 0.0918999999999985/$X124, 0.0918999999999985)</f>
        <v>5.6728395061727464E-2</v>
      </c>
      <c r="BC124" s="88">
        <f>IF($Z$3="yes", 0.1164/$X124, 0.1164)</f>
        <v>7.1851851851851847E-2</v>
      </c>
      <c r="BD124" s="88">
        <f>IF($Z$3="yes", 0.132649999999999/$X124, 0.132649999999999)</f>
        <v>8.188271604938209E-2</v>
      </c>
      <c r="BE124" s="88">
        <f>IF($Z$3="yes", 0.0245000000000017/$X124, 0.0245000000000017)</f>
        <v>1.5123456790124506E-2</v>
      </c>
      <c r="BF124" s="88">
        <f>IF($Z$3="yes", 0.0407500000000013/$X124, 0.0407500000000013)</f>
        <v>2.5154320987655122E-2</v>
      </c>
      <c r="BG124" s="88">
        <f>IF($Z$3="yes", 0.0162499999999996/$X124, 0.0162499999999996)</f>
        <v>1.0030864197530617E-2</v>
      </c>
      <c r="BH124" s="88">
        <f>IF($Z$3="yes", 0.262008666666666/$X124, 0.262008666666666)</f>
        <v>0.16173374485596664</v>
      </c>
      <c r="BI124" s="68"/>
      <c r="BJ124" s="68"/>
      <c r="BK124" s="68">
        <f>IF($BL$3="yes", MAX(0, (336520 - 310837.4) / 32049.4597246193), 310837.4)</f>
        <v>310837.40000000002</v>
      </c>
      <c r="BL124" s="68">
        <f>IF($BL$3="yes", MAX(0, (336520 - 302807.8) / 143781.759137103), 302807.8)</f>
        <v>302807.8</v>
      </c>
      <c r="BM124" s="68">
        <f>IF($BL$3="yes", MAX(0, (336520 - 244368.2) / 124306.464293133), 244368.2)</f>
        <v>244368.2</v>
      </c>
      <c r="BN124" s="68">
        <f>IF($BL$3="yes", MAX(0, (336520 - 2226522.92) / 10610355.9481853), 2226522.92)</f>
        <v>2226522.92</v>
      </c>
      <c r="BO124" s="68">
        <f>IF($BL$3="yes", MAX(0, (336520 - 1560247.54) / 7549603.55817383), 1560247.54)</f>
        <v>1560247.54</v>
      </c>
      <c r="BP124" s="68">
        <f>IF($BL$3="yes", MAX(0, (336520 - 979671.73) / 5456917.65199502), 979671.73)</f>
        <v>979671.73</v>
      </c>
      <c r="BQ124" s="68">
        <v>50.188134951212497</v>
      </c>
      <c r="BR124" s="68"/>
      <c r="BS124" s="68"/>
      <c r="BT124" s="68">
        <v>-372613.70593418583</v>
      </c>
      <c r="BU124" s="68">
        <v>77732.742940973316</v>
      </c>
      <c r="BV124" s="68">
        <f>IF($Z$3="yes", 0.115763982324124/$X124, 0.115763982324124)</f>
        <v>7.1459248348224688E-2</v>
      </c>
      <c r="BW124" s="68">
        <f>IF($Z$3="yes", 0.183540684444151/$X124, 0.183540684444151)</f>
        <v>0.1132967187926858</v>
      </c>
      <c r="BX124" s="68">
        <f>$BW$129 - $BV$129</f>
        <v>0.32337351803989334</v>
      </c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81"/>
      <c r="CR124" s="81"/>
      <c r="CS124" s="68"/>
      <c r="CT124" s="68"/>
      <c r="CU124" s="68"/>
    </row>
    <row r="125" spans="1:99" ht="15.75" customHeight="1" thickBot="1" x14ac:dyDescent="0.3">
      <c r="A125" s="84"/>
      <c r="B125" s="67" t="s">
        <v>128</v>
      </c>
      <c r="C125" s="83" t="s">
        <v>438</v>
      </c>
      <c r="D125" s="67" t="s">
        <v>315</v>
      </c>
      <c r="E125" s="67">
        <v>2</v>
      </c>
      <c r="F125" s="85">
        <v>1.69</v>
      </c>
      <c r="G125" s="313">
        <v>44334</v>
      </c>
      <c r="H125" s="317">
        <v>1.35</v>
      </c>
      <c r="I125" s="85">
        <v>1.9</v>
      </c>
      <c r="J125" s="313">
        <v>44372</v>
      </c>
      <c r="K125" s="173">
        <f t="shared" si="4"/>
        <v>-0.20118343195266264</v>
      </c>
      <c r="L125" s="92">
        <f t="shared" si="5"/>
        <v>0.12426035502958577</v>
      </c>
      <c r="M125" s="312">
        <v>44407</v>
      </c>
      <c r="N125" s="68"/>
      <c r="O125" s="291">
        <v>24426993</v>
      </c>
      <c r="P125" s="291">
        <v>22840000</v>
      </c>
      <c r="Q125" s="291">
        <v>38</v>
      </c>
      <c r="R125" s="68" t="s">
        <v>131</v>
      </c>
      <c r="S125" s="68" t="s">
        <v>148</v>
      </c>
      <c r="T125" s="67" t="s">
        <v>271</v>
      </c>
      <c r="U125" s="68">
        <v>168</v>
      </c>
      <c r="V125" s="68">
        <v>17382869</v>
      </c>
      <c r="W125" s="68"/>
      <c r="X125" s="68">
        <v>1.76</v>
      </c>
      <c r="Y125" s="68">
        <v>2.345848000000001</v>
      </c>
      <c r="Z125" s="68">
        <v>3.192800000000001</v>
      </c>
      <c r="AA125" s="68">
        <v>2.0599999999999978</v>
      </c>
      <c r="AB125" s="68">
        <v>2.382991999999998</v>
      </c>
      <c r="AC125" s="68">
        <v>1.6665000000000001</v>
      </c>
      <c r="AD125" s="68">
        <v>1.63</v>
      </c>
      <c r="AE125" s="68">
        <v>1.5674999999999999</v>
      </c>
      <c r="AF125" s="68">
        <f>IF($Z$3="yes", 0.00732796429910742/$X125, 0.00732796429910742)</f>
        <v>4.1636160790383065E-3</v>
      </c>
      <c r="AG125" s="68">
        <f>IF($Z$3="yes", -0.0342113315331533/$X125, -0.0342113315331533)</f>
        <v>-1.943825655292801E-2</v>
      </c>
      <c r="AH125" s="68">
        <f>IF($Z$3="yes", -0.0283716686674666/$X125, -0.0283716686674666)</f>
        <v>-1.6120266288333296E-2</v>
      </c>
      <c r="AI125" s="68">
        <f>IF($Z$3="yes", -0.0384746794717884/$X125, -0.0384746794717884)</f>
        <v>-2.1860613336243409E-2</v>
      </c>
      <c r="AJ125" s="68">
        <f>IF($Z$3="yes", -0.0119774436090224/$X125, -0.0119774436090224)</f>
        <v>-6.8053656869445454E-3</v>
      </c>
      <c r="AK125" s="68">
        <f>IF($Z$3="yes", -0.014681318681319/$X125, -0.014681318681319)</f>
        <v>-8.3416583416585227E-3</v>
      </c>
      <c r="AL125" s="68">
        <f>IF($Z$3="yes", 0.0185714285714287/$X125, 0.0185714285714287)</f>
        <v>1.0551948051948125E-2</v>
      </c>
      <c r="AM125" s="68">
        <f>IF($Z$3="yes", 0.846951999999999/$X125, 0.846951999999999)</f>
        <v>0.48122272727272675</v>
      </c>
      <c r="AN125" s="68">
        <f>IF($Z$3="yes", 0.285848000000002/$X125, 0.285848000000002)</f>
        <v>0.16241363636363748</v>
      </c>
      <c r="AO125" s="68">
        <f>IF($Z$3="yes", 0.0371439999999969/$X125, 0.0371439999999969)</f>
        <v>2.1104545454543693E-2</v>
      </c>
      <c r="AP125" s="68">
        <f>IF($Z$3="yes", 0.679348000000001/$X125, 0.679348000000001)</f>
        <v>0.38599318181818237</v>
      </c>
      <c r="AQ125" s="68">
        <f>IF($Z$3="yes", 0.715848000000001/$X125, 0.715848000000001)</f>
        <v>0.40673181818181875</v>
      </c>
      <c r="AR125" s="68">
        <f>IF($Z$3="yes", 0.778348/$X125, 0.778348)</f>
        <v>0.44224318181818184</v>
      </c>
      <c r="AS125" s="68">
        <f>IF($Z$3="yes", 1.1328/$X125, 1.1328)</f>
        <v>0.64363636363636367</v>
      </c>
      <c r="AT125" s="68">
        <f>IF($Z$3="yes", 0.809808000000002/$X125, 0.809808000000002)</f>
        <v>0.46011818181818293</v>
      </c>
      <c r="AU125" s="88">
        <f>IF($Z$3="yes", 1.5263/$X125, 1.5263)</f>
        <v>0.86721590909090907</v>
      </c>
      <c r="AV125" s="88">
        <f>IF($Z$3="yes", 1.5628/$X125, 1.5628)</f>
        <v>0.88795454545454544</v>
      </c>
      <c r="AW125" s="88">
        <f>IF($Z$3="yes", 1.6253/$X125, 1.6253)</f>
        <v>0.92346590909090909</v>
      </c>
      <c r="AX125" s="88">
        <f>IF($Z$3="yes", 0.322991999999999/$X125, 0.322991999999999)</f>
        <v>0.18351818181818125</v>
      </c>
      <c r="AY125" s="88">
        <f>IF($Z$3="yes", 0.716491999999998/$X125, 0.716491999999998)</f>
        <v>0.40709772727272614</v>
      </c>
      <c r="AZ125" s="88">
        <f>IF($Z$3="yes", 0.752991999999998/$X125, 0.752991999999998)</f>
        <v>0.42783636363636252</v>
      </c>
      <c r="BA125" s="88">
        <f>IF($Z$3="yes", 0.815491999999997/$X125, 0.815491999999997)</f>
        <v>0.46334772727272555</v>
      </c>
      <c r="BB125" s="88">
        <f>IF($Z$3="yes", 0.393499999999998/$X125, 0.393499999999998)</f>
        <v>0.22357954545454434</v>
      </c>
      <c r="BC125" s="88">
        <f>IF($Z$3="yes", 0.429999999999998/$X125, 0.429999999999998)</f>
        <v>0.24431818181818069</v>
      </c>
      <c r="BD125" s="88">
        <f>IF($Z$3="yes", 0.492499999999997/$X125, 0.492499999999997)</f>
        <v>0.27982954545454375</v>
      </c>
      <c r="BE125" s="88">
        <f>IF($Z$3="yes", 0.0364999999999997/$X125, 0.0364999999999997)</f>
        <v>2.0738636363636192E-2</v>
      </c>
      <c r="BF125" s="88">
        <f>IF($Z$3="yes", 0.0989999999999993/$X125, 0.0989999999999993)</f>
        <v>5.6249999999999599E-2</v>
      </c>
      <c r="BG125" s="88">
        <f>IF($Z$3="yes", 0.0624999999999995/$X125, 0.0624999999999995)</f>
        <v>3.5511363636363355E-2</v>
      </c>
      <c r="BH125" s="88">
        <f>IF($Z$3="yes", 0.770817333333333/$X125, 0.770817333333333)</f>
        <v>0.43796439393939374</v>
      </c>
      <c r="BI125" s="68"/>
      <c r="BJ125" s="68"/>
      <c r="BK125" s="68">
        <f>IF($BL$3="yes", MAX(0, (17382869 - 3723464.2) / 6830251.19344533), 3723464.2)</f>
        <v>3723464.2</v>
      </c>
      <c r="BL125" s="68">
        <f>IF($BL$3="yes", MAX(0, (17382869 - 2092538.3) / 5098408.86927545), 2092538.3)</f>
        <v>2092538.3</v>
      </c>
      <c r="BM125" s="68">
        <f>IF($BL$3="yes", MAX(0, (17382869 - 1252890.75) / 3703261.93050634), 1252890.75)</f>
        <v>1252890.75</v>
      </c>
      <c r="BN125" s="68">
        <f>IF($BL$3="yes", MAX(0, (17382869 - 1458624.2) / 2496934.79918777), 1458624.2)</f>
        <v>1458624.2</v>
      </c>
      <c r="BO125" s="68">
        <f>IF($BL$3="yes", MAX(0, (17382869 - 4145092.72833333) / 6261061.18665664), 4145092.72833333)</f>
        <v>4145092.7283333298</v>
      </c>
      <c r="BP125" s="68">
        <f>IF($BL$3="yes", MAX(0, (17382869 - 2426597.23333333) / 4773883.75856003), 2426597.23333333)</f>
        <v>2426597.2333333301</v>
      </c>
      <c r="BQ125" s="68">
        <v>45.461748051131757</v>
      </c>
      <c r="BR125" s="68"/>
      <c r="BS125" s="68"/>
      <c r="BT125" s="68">
        <v>-14004857.45866582</v>
      </c>
      <c r="BU125" s="68">
        <v>-3784594.841219909</v>
      </c>
      <c r="BV125" s="68">
        <f>IF($Z$3="yes", 0.179005028037494/$X125, 0.179005028037494)</f>
        <v>0.10170740229403068</v>
      </c>
      <c r="BW125" s="68">
        <f>IF($Z$3="yes", 0.334054252644024/$X125, 0.334054252644024)</f>
        <v>0.18980355263865001</v>
      </c>
      <c r="BX125" s="68">
        <f>$BW$122 - $BV$122</f>
        <v>3.2110901125157743E-2</v>
      </c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81"/>
      <c r="CR125" s="81"/>
      <c r="CS125" s="68"/>
      <c r="CT125" s="68"/>
      <c r="CU125" s="68"/>
    </row>
    <row r="126" spans="1:99" ht="15.75" customHeight="1" thickBot="1" x14ac:dyDescent="0.3">
      <c r="A126" s="84"/>
      <c r="B126" s="67" t="s">
        <v>128</v>
      </c>
      <c r="C126" s="83" t="s">
        <v>439</v>
      </c>
      <c r="D126" s="67" t="s">
        <v>440</v>
      </c>
      <c r="E126" s="67">
        <v>1</v>
      </c>
      <c r="F126" s="85">
        <v>0.8</v>
      </c>
      <c r="G126" s="313">
        <v>44334</v>
      </c>
      <c r="H126" s="317">
        <v>0.86</v>
      </c>
      <c r="I126" s="85">
        <v>1.42</v>
      </c>
      <c r="J126" s="313">
        <v>44361</v>
      </c>
      <c r="K126" s="176">
        <f t="shared" si="4"/>
        <v>7.4999999999999956E-2</v>
      </c>
      <c r="L126" s="177">
        <f t="shared" si="5"/>
        <v>0.77499999999999991</v>
      </c>
      <c r="M126" s="312">
        <v>44407</v>
      </c>
      <c r="N126" s="68"/>
      <c r="O126" s="291">
        <v>102835674</v>
      </c>
      <c r="P126" s="291">
        <v>81070000</v>
      </c>
      <c r="Q126" s="291">
        <v>27</v>
      </c>
      <c r="R126" s="68" t="s">
        <v>131</v>
      </c>
      <c r="S126" s="68" t="s">
        <v>148</v>
      </c>
      <c r="T126" s="68" t="s">
        <v>154</v>
      </c>
      <c r="U126" s="68">
        <v>748</v>
      </c>
      <c r="V126" s="68">
        <v>103657559</v>
      </c>
      <c r="W126" s="68"/>
      <c r="X126" s="68">
        <v>0.84260000000000002</v>
      </c>
      <c r="Y126" s="68">
        <v>2.5374129999999999</v>
      </c>
      <c r="Z126" s="68">
        <v>2.483676</v>
      </c>
      <c r="AA126" s="68">
        <v>1.796252</v>
      </c>
      <c r="AB126" s="68">
        <v>2.2622</v>
      </c>
      <c r="AC126" s="68">
        <v>1.337129999999999</v>
      </c>
      <c r="AD126" s="68">
        <v>1.268042857142857</v>
      </c>
      <c r="AE126" s="68">
        <v>1.189075000000001</v>
      </c>
      <c r="AF126" s="68">
        <f>IF($Z$3="yes", -0.00473925043126075/$X126, -0.00473925043126075)</f>
        <v>-5.6245554607889268E-3</v>
      </c>
      <c r="AG126" s="68">
        <f>IF($Z$3="yes", -0.0206818937893785/$X126, -0.0206818937893785)</f>
        <v>-2.4545328494396512E-2</v>
      </c>
      <c r="AH126" s="68">
        <f>IF($Z$3="yes", -0.0347506650660265/$X126, -0.0347506650660265)</f>
        <v>-4.1242184982229403E-2</v>
      </c>
      <c r="AI126" s="68">
        <f>IF($Z$3="yes", -0.0524816326530614/$X126, -0.0524816326530614)</f>
        <v>-6.2285346134656298E-2</v>
      </c>
      <c r="AJ126" s="68">
        <f>IF($Z$3="yes", -0.0249854135338344/$X126, -0.0249854135338344)</f>
        <v>-2.9652757576352242E-2</v>
      </c>
      <c r="AK126" s="68">
        <f>IF($Z$3="yes", -0.028563076923077/$X126, -0.028563076923077)</f>
        <v>-3.3898738337380725E-2</v>
      </c>
      <c r="AL126" s="68">
        <f>IF($Z$3="yes", -0.0272833333333344/$X126, -0.0272833333333344)</f>
        <v>-3.2379935121450751E-2</v>
      </c>
      <c r="AM126" s="68">
        <f>IF($Z$3="yes", 0.0537370000000003/$X126, 0.0537370000000003)</f>
        <v>6.3775219558509733E-2</v>
      </c>
      <c r="AN126" s="68">
        <f>IF($Z$3="yes", 0.741161/$X126, 0.741161)</f>
        <v>0.8796119154996439</v>
      </c>
      <c r="AO126" s="68">
        <f>IF($Z$3="yes", 0.275213/$X126, 0.275213)</f>
        <v>0.32662354616662709</v>
      </c>
      <c r="AP126" s="68">
        <f>IF($Z$3="yes", 1.200283/$X126, 1.200283)</f>
        <v>1.4244991692380726</v>
      </c>
      <c r="AQ126" s="68">
        <f>IF($Z$3="yes", 1.26937014285714/$X126, 1.26937014285714)</f>
        <v>1.5064919806042487</v>
      </c>
      <c r="AR126" s="68">
        <f>IF($Z$3="yes", 1.34833799999999/$X126, 1.34833799999999)</f>
        <v>1.6002112508900903</v>
      </c>
      <c r="AS126" s="68">
        <f>IF($Z$3="yes", 0.687424/$X126, 0.687424)</f>
        <v>0.81583669594113462</v>
      </c>
      <c r="AT126" s="68">
        <f>IF($Z$3="yes", 0.221476/$X126, 0.221476)</f>
        <v>0.26284832660811774</v>
      </c>
      <c r="AU126" s="88">
        <f>IF($Z$3="yes", 1.146546/$X126, 1.146546)</f>
        <v>1.3607239496795633</v>
      </c>
      <c r="AV126" s="88">
        <f>IF($Z$3="yes", 1.21563314285714/$X126, 1.21563314285714)</f>
        <v>1.4427167610457394</v>
      </c>
      <c r="AW126" s="88">
        <f>IF($Z$3="yes", 1.29460099999999/$X126, 1.29460099999999)</f>
        <v>1.5364360313315806</v>
      </c>
      <c r="AX126" s="88">
        <f>IF($Z$3="yes", 0.465948/$X126, 0.465948)</f>
        <v>0.55298836933301676</v>
      </c>
      <c r="AY126" s="88">
        <f>IF($Z$3="yes", 0.92507/$X126, 0.92507)</f>
        <v>1.0978756230714455</v>
      </c>
      <c r="AZ126" s="88">
        <f>IF($Z$3="yes", 0.994157142857142/$X126, 0.994157142857142)</f>
        <v>1.179868434437624</v>
      </c>
      <c r="BA126" s="88">
        <f>IF($Z$3="yes", 1.07312499999999/$X126, 1.07312499999999)</f>
        <v>1.2735877047234629</v>
      </c>
      <c r="BB126" s="88">
        <f>IF($Z$3="yes", 0.459122/$X126, 0.459122)</f>
        <v>0.54488725373842861</v>
      </c>
      <c r="BC126" s="88">
        <f>IF($Z$3="yes", 0.528209142857142/$X126, 0.528209142857142)</f>
        <v>0.62688006510460725</v>
      </c>
      <c r="BD126" s="88">
        <f>IF($Z$3="yes", 0.607176999999998/$X126, 0.607176999999998)</f>
        <v>0.72059933539045573</v>
      </c>
      <c r="BE126" s="88">
        <f>IF($Z$3="yes", 0.0690871428571426/$X126, 0.0690871428571426)</f>
        <v>8.1992811366179197E-2</v>
      </c>
      <c r="BF126" s="88">
        <f>IF($Z$3="yes", 0.148054999999998/$X126, 0.148054999999998)</f>
        <v>0.17571208165202704</v>
      </c>
      <c r="BG126" s="88">
        <f>IF($Z$3="yes", 0.0789678571428558/$X126, 0.0789678571428558)</f>
        <v>9.3719270285848325E-2</v>
      </c>
      <c r="BH126" s="88">
        <f>IF($Z$3="yes", 0.784043829931972/$X126, 0.784043829931972)</f>
        <v>0.93050537613573692</v>
      </c>
      <c r="BI126" s="68"/>
      <c r="BJ126" s="68"/>
      <c r="BK126" s="68">
        <f>IF($BL$3="yes", MAX(0, (103657559 - 23987867.4) / 39858862.6493006), 23987867.4)</f>
        <v>23987867.399999999</v>
      </c>
      <c r="BL126" s="68">
        <f>IF($BL$3="yes", MAX(0, (103657559 - 14507131.1) / 29766552.7297225), 14507131.1)</f>
        <v>14507131.1</v>
      </c>
      <c r="BM126" s="68">
        <f>IF($BL$3="yes", MAX(0, (103657559 - 9344289.85) / 21701420.451602), 9344289.85)</f>
        <v>9344289.8499999996</v>
      </c>
      <c r="BN126" s="68">
        <f>IF($BL$3="yes", MAX(0, (103657559 - 6508942.6) / 14504117.8879516), 6508942.6)</f>
        <v>6508942.5999999996</v>
      </c>
      <c r="BO126" s="68">
        <f>IF($BL$3="yes", MAX(0, (103657559 - 5378767.63) / 10651530.6917585), 5378767.63)</f>
        <v>5378767.6299999999</v>
      </c>
      <c r="BP126" s="68">
        <f>IF($BL$3="yes", MAX(0, (103657559 - 4546880.45) / 7997443.12594902), 4546880.45)</f>
        <v>4546880.45</v>
      </c>
      <c r="BQ126" s="68">
        <v>16.473183398306571</v>
      </c>
      <c r="BR126" s="68"/>
      <c r="BS126" s="68"/>
      <c r="BT126" s="68">
        <v>29806249.40514214</v>
      </c>
      <c r="BU126" s="68">
        <v>21102556.04735006</v>
      </c>
      <c r="BV126" s="68">
        <f>IF($Z$3="yes", 0.155530426023788/$X126, 0.155530426023788)</f>
        <v>0.18458393783976737</v>
      </c>
      <c r="BW126" s="68">
        <f>IF($Z$3="yes", 0.239855319077594/$X126, 0.239855319077594)</f>
        <v>0.28466095309469974</v>
      </c>
      <c r="BX126" s="68">
        <f>$BW$127 - $BV$127</f>
        <v>0.26013612544935993</v>
      </c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81"/>
      <c r="CR126" s="81"/>
      <c r="CS126" s="68"/>
      <c r="CT126" s="68"/>
      <c r="CU126" s="68"/>
    </row>
    <row r="127" spans="1:99" ht="15.75" customHeight="1" thickBot="1" x14ac:dyDescent="0.3">
      <c r="A127" s="84"/>
      <c r="B127" s="67" t="s">
        <v>181</v>
      </c>
      <c r="C127" s="83" t="s">
        <v>441</v>
      </c>
      <c r="D127" s="67" t="s">
        <v>442</v>
      </c>
      <c r="E127" s="67">
        <v>1</v>
      </c>
      <c r="F127" s="85">
        <v>1.6999999999999999E-3</v>
      </c>
      <c r="G127" s="313">
        <v>44334</v>
      </c>
      <c r="H127" s="317">
        <v>1.2999999999999999E-3</v>
      </c>
      <c r="I127" s="317">
        <v>2E-3</v>
      </c>
      <c r="J127" s="313">
        <v>44391</v>
      </c>
      <c r="K127" s="125">
        <f t="shared" si="4"/>
        <v>-0.23529411764705876</v>
      </c>
      <c r="L127" s="91">
        <f t="shared" si="5"/>
        <v>0.17647058823529416</v>
      </c>
      <c r="M127" s="312">
        <v>44407</v>
      </c>
      <c r="N127" s="68"/>
      <c r="O127" s="68">
        <v>5861691862</v>
      </c>
      <c r="P127" s="68"/>
      <c r="Q127" s="68">
        <v>57</v>
      </c>
      <c r="R127" s="68"/>
      <c r="S127" s="68" t="s">
        <v>135</v>
      </c>
      <c r="T127" s="68"/>
      <c r="U127" s="68">
        <v>292</v>
      </c>
      <c r="V127" s="68">
        <v>54527250</v>
      </c>
      <c r="W127" s="68"/>
      <c r="X127" s="68">
        <v>1.6999999999999999E-3</v>
      </c>
      <c r="Y127" s="68">
        <v>1.8730000000000001E-3</v>
      </c>
      <c r="Z127" s="68">
        <v>2.7519999999999971E-3</v>
      </c>
      <c r="AA127" s="68">
        <v>2.831999999999999E-3</v>
      </c>
      <c r="AB127" s="68">
        <v>3.5000000000000001E-3</v>
      </c>
      <c r="AC127" s="68">
        <v>2.14E-3</v>
      </c>
      <c r="AD127" s="68">
        <v>2.0357142857142861E-3</v>
      </c>
      <c r="AE127" s="68">
        <v>1.9499999999999999E-3</v>
      </c>
      <c r="AF127" s="68">
        <f>IF($Z$3="yes", 0.0000143949598739968/$X127, 0.0000143949598739968)</f>
        <v>8.467623455292235E-3</v>
      </c>
      <c r="AG127" s="68">
        <f>IF($Z$3="yes", 0.0000113627362736276/$X127, 0.0000113627362736276)</f>
        <v>6.6839625138985894E-3</v>
      </c>
      <c r="AH127" s="68">
        <f>IF($Z$3="yes", -0.0000442833133253301/$X127, -0.0000442833133253301)</f>
        <v>-2.6049007838429471E-2</v>
      </c>
      <c r="AI127" s="68">
        <f>IF($Z$3="yes", -0.0000698007202881153/$X127, -0.0000698007202881153)</f>
        <v>-4.105924722830312E-2</v>
      </c>
      <c r="AJ127" s="68">
        <f>IF($Z$3="yes", -0.000032481203007519/$X127, -0.000032481203007519)</f>
        <v>-1.9106590004422944E-2</v>
      </c>
      <c r="AK127" s="68">
        <f>IF($Z$3="yes", -0.0000327472527472538/$X127, -0.0000327472527472538)</f>
        <v>-1.9263089851325767E-2</v>
      </c>
      <c r="AL127" s="68">
        <f>IF($Z$3="yes", -0.0000428571428571417/$X127, -0.0000428571428571417)</f>
        <v>-2.5210084033612766E-2</v>
      </c>
      <c r="AM127" s="68">
        <f>IF($Z$3="yes", 0.000878999999999996/$X127, 0.000878999999999996)</f>
        <v>0.51705882352940946</v>
      </c>
      <c r="AN127" s="68">
        <f>IF($Z$3="yes", 0.000958999999999999/$X127, 0.000958999999999999)</f>
        <v>0.56411764705882295</v>
      </c>
      <c r="AO127" s="68">
        <f>IF($Z$3="yes", 0.00162699999999999/$X127, 0.00162699999999999)</f>
        <v>0.95705882352940597</v>
      </c>
      <c r="AP127" s="68">
        <f>IF($Z$3="yes", 0.000266999999999999/$X127, 0.000266999999999999)</f>
        <v>0.1570588235294112</v>
      </c>
      <c r="AQ127" s="68">
        <f>IF($Z$3="yes", 0.000162714285714285/$X127, 0.000162714285714285)</f>
        <v>9.5714285714285294E-2</v>
      </c>
      <c r="AR127" s="68">
        <f>IF($Z$3="yes", 0.0000769999999999998/$X127, 0.0000769999999999998)</f>
        <v>4.5294117647058707E-2</v>
      </c>
      <c r="AS127" s="68">
        <f>IF($Z$3="yes", 0.0000800000000000023/$X127, 0.0000800000000000023)</f>
        <v>4.7058823529413117E-2</v>
      </c>
      <c r="AT127" s="68">
        <f>IF($Z$3="yes", 0.000748000000000002/$X127, 0.000748000000000002)</f>
        <v>0.44000000000000122</v>
      </c>
      <c r="AU127" s="88">
        <f>IF($Z$3="yes", 0.000611999999999997/$X127, 0.000611999999999997)</f>
        <v>0.35999999999999827</v>
      </c>
      <c r="AV127" s="88">
        <f>IF($Z$3="yes", 0.000716285714285711/$X127, 0.000716285714285711)</f>
        <v>0.4213445378151241</v>
      </c>
      <c r="AW127" s="88">
        <f>IF($Z$3="yes", 0.000801999999999996/$X127, 0.000801999999999996)</f>
        <v>0.47176470588235059</v>
      </c>
      <c r="AX127" s="88">
        <f>IF($Z$3="yes", 0.000668/$X127, 0.000668)</f>
        <v>0.39294117647058824</v>
      </c>
      <c r="AY127" s="88">
        <f>IF($Z$3="yes", 0.00135999999999999/$X127, 0.00135999999999999)</f>
        <v>0.79999999999999416</v>
      </c>
      <c r="AZ127" s="88">
        <f>IF($Z$3="yes", 0.00146428571428571/$X127, 0.00146428571428571)</f>
        <v>0.86134453781512366</v>
      </c>
      <c r="BA127" s="88">
        <f>IF($Z$3="yes", 0.00154999999999999/$X127, 0.00154999999999999)</f>
        <v>0.91176470588234704</v>
      </c>
      <c r="BB127" s="88">
        <f>IF($Z$3="yes", 0.000691999999999999/$X127, 0.000691999999999999)</f>
        <v>0.4070588235294112</v>
      </c>
      <c r="BC127" s="88">
        <f>IF($Z$3="yes", 0.000796285714285713/$X127, 0.000796285714285713)</f>
        <v>0.46840336134453708</v>
      </c>
      <c r="BD127" s="88">
        <f>IF($Z$3="yes", 0.000881999999999999/$X127, 0.000881999999999999)</f>
        <v>0.51882352941176413</v>
      </c>
      <c r="BE127" s="88">
        <f>IF($Z$3="yes", 0.000104285714285713/$X127, 0.000104285714285713)</f>
        <v>6.1344537815125298E-2</v>
      </c>
      <c r="BF127" s="88">
        <f>IF($Z$3="yes", 0.000189999999999999/$X127, 0.000189999999999999)</f>
        <v>0.11176470588235236</v>
      </c>
      <c r="BG127" s="88">
        <f>IF($Z$3="yes", 0.0000857142857142859/$X127, 0.0000857142857142859)</f>
        <v>5.0420168067227003E-2</v>
      </c>
      <c r="BH127" s="88">
        <f>IF($Z$3="yes", 0.000803346938775509/$X127, 0.000803346938775509)</f>
        <v>0.47255702280912293</v>
      </c>
      <c r="BI127" s="68"/>
      <c r="BJ127" s="68"/>
      <c r="BK127" s="68">
        <f>IF($BL$3="yes", MAX(0, (54527250 - 42814228.6) / 9442371.05514318), 42814228.6)</f>
        <v>42814228.600000001</v>
      </c>
      <c r="BL127" s="68">
        <f>IF($BL$3="yes", MAX(0, (54527250 - 54778642.1) / 19274435.3070142), 54778642.1)</f>
        <v>54778642.100000001</v>
      </c>
      <c r="BM127" s="68">
        <f>IF($BL$3="yes", MAX(0, (54527250 - 55058421.95) / 34518872.2077324), 55058421.95)</f>
        <v>55058421.950000003</v>
      </c>
      <c r="BN127" s="68">
        <f>IF($BL$3="yes", MAX(0, (54527250 - 71988662.78) / 65173824.635866), 71988662.78)</f>
        <v>71988662.780000001</v>
      </c>
      <c r="BO127" s="68">
        <f>IF($BL$3="yes", MAX(0, (54527250 - 100847497.94) / 124580377.543824), 100847497.94)</f>
        <v>100847497.94</v>
      </c>
      <c r="BP127" s="68">
        <f>IF($BL$3="yes", MAX(0, (54527250 - 74792751.17) / 104642187.7991), 74792751.17)</f>
        <v>74792751.170000002</v>
      </c>
      <c r="BQ127" s="68">
        <v>37.297854279968547</v>
      </c>
      <c r="BR127" s="68"/>
      <c r="BS127" s="68"/>
      <c r="BT127" s="68">
        <v>-479164640.52369821</v>
      </c>
      <c r="BU127" s="68">
        <v>-11471318.67391479</v>
      </c>
      <c r="BV127" s="68">
        <f>IF($Z$3="yes", 0.000409781744815223/$X127, 0.000409781744815223)</f>
        <v>0.24104808518542531</v>
      </c>
      <c r="BW127" s="68">
        <f>IF($Z$3="yes", 0.000852013158079135/$X127, 0.000852013158079135)</f>
        <v>0.50118421063478524</v>
      </c>
      <c r="BX127" s="68">
        <f>$BW$123 - $BV$123</f>
        <v>6.3163787726256734E-2</v>
      </c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81"/>
      <c r="CR127" s="81"/>
      <c r="CS127" s="68"/>
      <c r="CT127" s="68"/>
      <c r="CU127" s="68"/>
    </row>
    <row r="128" spans="1:99" ht="15.75" customHeight="1" thickBot="1" x14ac:dyDescent="0.3">
      <c r="A128" s="84"/>
      <c r="B128" s="67" t="s">
        <v>181</v>
      </c>
      <c r="C128" s="83" t="s">
        <v>443</v>
      </c>
      <c r="D128" s="67" t="s">
        <v>444</v>
      </c>
      <c r="E128" s="67">
        <v>1</v>
      </c>
      <c r="F128" s="85">
        <v>6.9999999999999999E-4</v>
      </c>
      <c r="G128" s="313">
        <v>44334</v>
      </c>
      <c r="H128" s="317">
        <v>4.0000000000000002E-4</v>
      </c>
      <c r="I128" s="317">
        <v>8.9999999999999998E-4</v>
      </c>
      <c r="J128" s="313">
        <v>44341</v>
      </c>
      <c r="K128" s="125">
        <f t="shared" si="4"/>
        <v>-0.42857142857142849</v>
      </c>
      <c r="L128" s="171">
        <f t="shared" si="5"/>
        <v>0.28571428571428559</v>
      </c>
      <c r="M128" s="312">
        <v>44407</v>
      </c>
      <c r="N128" s="68"/>
      <c r="O128" s="68">
        <v>8200722014</v>
      </c>
      <c r="P128" s="68"/>
      <c r="Q128" s="68">
        <v>7</v>
      </c>
      <c r="R128" s="68"/>
      <c r="S128" s="68" t="s">
        <v>220</v>
      </c>
      <c r="T128" s="68"/>
      <c r="U128" s="68">
        <v>152</v>
      </c>
      <c r="V128" s="68">
        <v>187919304</v>
      </c>
      <c r="W128" s="68"/>
      <c r="X128" s="68">
        <v>8.0000000000000004E-4</v>
      </c>
      <c r="Y128" s="68">
        <v>7.6550000000000023E-4</v>
      </c>
      <c r="Z128" s="68">
        <v>1.3549999999999979E-3</v>
      </c>
      <c r="AA128" s="68">
        <v>1.368000000000002E-3</v>
      </c>
      <c r="AB128" s="68">
        <v>1.474000000000002E-3</v>
      </c>
      <c r="AC128" s="68">
        <v>1.0549999999999991E-3</v>
      </c>
      <c r="AD128" s="68">
        <v>9.7142857142857144E-4</v>
      </c>
      <c r="AE128" s="68">
        <v>8.8749999999999994E-4</v>
      </c>
      <c r="AF128" s="68">
        <f>IF($Z$3="yes", 9.44551113777841E-06/$X128, 9.44551113777841E-06)</f>
        <v>1.1806888922223011E-2</v>
      </c>
      <c r="AG128" s="68">
        <f>IF($Z$3="yes", 4.74107410741087E-06/$X128, 4.74107410741087E-06)</f>
        <v>5.9263426342635872E-3</v>
      </c>
      <c r="AH128" s="68">
        <f>IF($Z$3="yes", -0.0000165858343337341/$X128, -0.0000165858343337341)</f>
        <v>-2.0732292917167626E-2</v>
      </c>
      <c r="AI128" s="68">
        <f>IF($Z$3="yes", -5.44057623049276E-06/$X128, -5.44057623049276E-06)</f>
        <v>-6.8007202881159501E-3</v>
      </c>
      <c r="AJ128" s="68">
        <f>IF($Z$3="yes", -0.0000281954887218041/$X128, -0.0000281954887218041)</f>
        <v>-3.5244360902255127E-2</v>
      </c>
      <c r="AK128" s="68">
        <f>IF($Z$3="yes", -0.0000298901098901098/$X128, -0.0000298901098901098)</f>
        <v>-3.7362637362637244E-2</v>
      </c>
      <c r="AL128" s="68">
        <f>IF($Z$3="yes", -0.0000369047619047609/$X128, -0.0000369047619047609)</f>
        <v>-4.6130952380951121E-2</v>
      </c>
      <c r="AM128" s="68">
        <f>IF($Z$3="yes", 0.000589499999999998/$X128, 0.000589499999999998)</f>
        <v>0.7368749999999975</v>
      </c>
      <c r="AN128" s="68">
        <f>IF($Z$3="yes", 0.000602500000000001/$X128, 0.000602500000000001)</f>
        <v>0.75312500000000127</v>
      </c>
      <c r="AO128" s="68">
        <f>IF($Z$3="yes", 0.000708500000000002/$X128, 0.000708500000000002)</f>
        <v>0.88562500000000244</v>
      </c>
      <c r="AP128" s="68">
        <f>IF($Z$3="yes", 0.000289499999999999/$X128, 0.000289499999999999)</f>
        <v>0.36187499999999873</v>
      </c>
      <c r="AQ128" s="68">
        <f>IF($Z$3="yes", 0.000205928571428571/$X128, 0.000205928571428571)</f>
        <v>0.25741071428571372</v>
      </c>
      <c r="AR128" s="68">
        <f>IF($Z$3="yes", 0.000121999999999999/$X128, 0.000121999999999999)</f>
        <v>0.15249999999999875</v>
      </c>
      <c r="AS128" s="68">
        <f>IF($Z$3="yes", 0.0000130000000000034/$X128, 0.0000130000000000034)</f>
        <v>1.6250000000004247E-2</v>
      </c>
      <c r="AT128" s="68">
        <f>IF($Z$3="yes", 0.000119000000000003/$X128, 0.000119000000000003)</f>
        <v>0.14875000000000374</v>
      </c>
      <c r="AU128" s="88">
        <f>IF($Z$3="yes", 0.000299999999999999/$X128, 0.000299999999999999)</f>
        <v>0.37499999999999872</v>
      </c>
      <c r="AV128" s="88">
        <f>IF($Z$3="yes", 0.000383571428571426/$X128, 0.000383571428571426)</f>
        <v>0.47946428571428246</v>
      </c>
      <c r="AW128" s="88">
        <f>IF($Z$3="yes", 0.000467499999999998/$X128, 0.000467499999999998)</f>
        <v>0.58437499999999742</v>
      </c>
      <c r="AX128" s="88">
        <f>IF($Z$3="yes", 0.000106/$X128, 0.000106)</f>
        <v>0.13250000000000001</v>
      </c>
      <c r="AY128" s="88">
        <f>IF($Z$3="yes", 0.000419000000000002/$X128, 0.000419000000000002)</f>
        <v>0.52375000000000249</v>
      </c>
      <c r="AZ128" s="88">
        <f>IF($Z$3="yes", 0.00050257142857143/$X128, 0.00050257142857143)</f>
        <v>0.6282142857142875</v>
      </c>
      <c r="BA128" s="88">
        <f>IF($Z$3="yes", 0.000586500000000002/$X128, 0.000586500000000002)</f>
        <v>0.73312500000000236</v>
      </c>
      <c r="BB128" s="88">
        <f>IF($Z$3="yes", 0.000313000000000002/$X128, 0.000313000000000002)</f>
        <v>0.39125000000000248</v>
      </c>
      <c r="BC128" s="88">
        <f>IF($Z$3="yes", 0.00039657142857143/$X128, 0.00039657142857143)</f>
        <v>0.49571428571428749</v>
      </c>
      <c r="BD128" s="88">
        <f>IF($Z$3="yes", 0.000480500000000001/$X128, 0.000480500000000001)</f>
        <v>0.60062500000000119</v>
      </c>
      <c r="BE128" s="88">
        <f>IF($Z$3="yes", 0.0000835714285714278/$X128, 0.0000835714285714278)</f>
        <v>0.10446428571428473</v>
      </c>
      <c r="BF128" s="88">
        <f>IF($Z$3="yes", 0.000167499999999999/$X128, 0.000167499999999999)</f>
        <v>0.20937499999999876</v>
      </c>
      <c r="BG128" s="88">
        <f>IF($Z$3="yes", 0.0000839285714285715/$X128, 0.0000839285714285715)</f>
        <v>0.10491071428571436</v>
      </c>
      <c r="BH128" s="88">
        <f>IF($Z$3="yes", 0.00036224149659864/$X128, 0.00036224149659864)</f>
        <v>0.45280187074829997</v>
      </c>
      <c r="BI128" s="68"/>
      <c r="BJ128" s="68"/>
      <c r="BK128" s="68">
        <f>IF($BL$3="yes", MAX(0, (187919304 - 259222590.4) / 93854190.2356438), 259222590.4)</f>
        <v>259222590.40000001</v>
      </c>
      <c r="BL128" s="68">
        <f>IF($BL$3="yes", MAX(0, (187919304 - 220086438.7) / 99311155.1771164), 220086438.7)</f>
        <v>220086438.69999999</v>
      </c>
      <c r="BM128" s="68">
        <f>IF($BL$3="yes", MAX(0, (187919304 - 202654736) / 85030120.0770374), 202654736)</f>
        <v>202654736</v>
      </c>
      <c r="BN128" s="68">
        <f>IF($BL$3="yes", MAX(0, (187919304 - 190800965.22) / 175707135.37733), 190800965.22)</f>
        <v>190800965.22</v>
      </c>
      <c r="BO128" s="68">
        <f>IF($BL$3="yes", MAX(0, (187919304 - 133473194.47) / 150670010.488917), 133473194.47)</f>
        <v>133473194.47</v>
      </c>
      <c r="BP128" s="68">
        <f>IF($BL$3="yes", MAX(0, (187919304 - 78136079.57) / 123698875.271965), 78136079.57)</f>
        <v>78136079.569999993</v>
      </c>
      <c r="BQ128" s="68">
        <v>45.21629762780637</v>
      </c>
      <c r="BR128" s="68"/>
      <c r="BS128" s="68"/>
      <c r="BT128" s="68">
        <v>-397321955.18095249</v>
      </c>
      <c r="BU128" s="68">
        <v>-39809066.707227647</v>
      </c>
      <c r="BV128" s="68">
        <f>IF($Z$3="yes", 0.000340963649544037/$X128, 0.000340963649544037)</f>
        <v>0.42620456193004624</v>
      </c>
      <c r="BW128" s="68">
        <f>IF($Z$3="yes", 0.000636054291412071/$X128, 0.000636054291412071)</f>
        <v>0.79506786426508869</v>
      </c>
      <c r="BX128" s="68">
        <f>$BW$124 - $BV$124</f>
        <v>4.1837470444461108E-2</v>
      </c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81"/>
      <c r="CR128" s="81"/>
      <c r="CS128" s="68"/>
      <c r="CT128" s="68"/>
      <c r="CU128" s="68"/>
    </row>
    <row r="129" spans="1:99" ht="15.75" customHeight="1" thickBot="1" x14ac:dyDescent="0.3">
      <c r="A129" s="84"/>
      <c r="B129" s="67" t="s">
        <v>181</v>
      </c>
      <c r="C129" s="83" t="s">
        <v>445</v>
      </c>
      <c r="D129" s="67" t="s">
        <v>446</v>
      </c>
      <c r="E129" s="67">
        <v>1</v>
      </c>
      <c r="F129" s="85">
        <v>1.1999999999999999E-3</v>
      </c>
      <c r="G129" s="313">
        <v>44334</v>
      </c>
      <c r="H129" s="317">
        <v>1E-3</v>
      </c>
      <c r="I129" s="317">
        <v>2.3999999999999998E-3</v>
      </c>
      <c r="J129" s="313">
        <v>44390</v>
      </c>
      <c r="K129" s="125">
        <f t="shared" si="4"/>
        <v>-0.16666666666666663</v>
      </c>
      <c r="L129" s="142">
        <f t="shared" si="5"/>
        <v>1</v>
      </c>
      <c r="M129" s="312">
        <v>44407</v>
      </c>
      <c r="N129" s="68"/>
      <c r="O129" s="68">
        <v>3727158685</v>
      </c>
      <c r="P129" s="68"/>
      <c r="Q129" s="68">
        <v>56</v>
      </c>
      <c r="R129" s="68"/>
      <c r="S129" s="68" t="s">
        <v>348</v>
      </c>
      <c r="T129" s="68"/>
      <c r="U129" s="68">
        <v>160</v>
      </c>
      <c r="V129" s="68">
        <v>13814543</v>
      </c>
      <c r="W129" s="68"/>
      <c r="X129" s="68">
        <v>1.1999999999999999E-3</v>
      </c>
      <c r="Y129" s="68">
        <v>1.15E-3</v>
      </c>
      <c r="Z129" s="68">
        <v>2.0699999999999998E-3</v>
      </c>
      <c r="AA129" s="68">
        <v>1.583999999999999E-3</v>
      </c>
      <c r="AB129" s="68">
        <v>1.9539999999999991E-3</v>
      </c>
      <c r="AC129" s="68">
        <v>1.4400000000000001E-3</v>
      </c>
      <c r="AD129" s="68">
        <v>1.4499999999999999E-3</v>
      </c>
      <c r="AE129" s="68">
        <v>1.325E-3</v>
      </c>
      <c r="AF129" s="68">
        <f>IF($Z$3="yes", 0.0000138790969774244/$X129, 0.0000138790969774244)</f>
        <v>1.1565914147853667E-2</v>
      </c>
      <c r="AG129" s="68">
        <f>IF($Z$3="yes", -3.39273927392736E-06/$X129, -3.39273927392736E-06)</f>
        <v>-2.8272827282728001E-3</v>
      </c>
      <c r="AH129" s="68">
        <f>IF($Z$3="yes", -0.0000142040816326529/$X129, -0.0000142040816326529)</f>
        <v>-1.1836734693877417E-2</v>
      </c>
      <c r="AI129" s="68">
        <f>IF($Z$3="yes", -0.0000416086434573828/$X129, -0.0000416086434573828)</f>
        <v>-3.4673869547819001E-2</v>
      </c>
      <c r="AJ129" s="68">
        <f>IF($Z$3="yes", -6.76691729323287E-06/$X129, -6.76691729323287E-06)</f>
        <v>-5.6390977443607259E-3</v>
      </c>
      <c r="AK129" s="68">
        <f>IF($Z$3="yes", -0.0000397802197802192/$X129, -0.0000397802197802192)</f>
        <v>-3.3150183150182672E-2</v>
      </c>
      <c r="AL129" s="68">
        <f>IF($Z$3="yes", -0.0000404761904761891/$X129, -0.0000404761904761891)</f>
        <v>-3.3730158730157583E-2</v>
      </c>
      <c r="AM129" s="68">
        <f>IF($Z$3="yes", 0.000919999999999999/$X129, 0.000919999999999999)</f>
        <v>0.76666666666666594</v>
      </c>
      <c r="AN129" s="68">
        <f>IF($Z$3="yes", 0.000433999999999999/$X129, 0.000433999999999999)</f>
        <v>0.36166666666666586</v>
      </c>
      <c r="AO129" s="68">
        <f>IF($Z$3="yes", 0.000803999999999998/$X129, 0.000803999999999998)</f>
        <v>0.66999999999999837</v>
      </c>
      <c r="AP129" s="68">
        <f>IF($Z$3="yes", 0.000289999999999999/$X129, 0.000289999999999999)</f>
        <v>0.24166666666666586</v>
      </c>
      <c r="AQ129" s="68">
        <f>IF($Z$3="yes", 0.000299999999999999/$X129, 0.000299999999999999)</f>
        <v>0.2499999999999992</v>
      </c>
      <c r="AR129" s="68">
        <f>IF($Z$3="yes", 0.000174999999999999/$X129, 0.000174999999999999)</f>
        <v>0.14583333333333251</v>
      </c>
      <c r="AS129" s="68">
        <f>IF($Z$3="yes", 0.000486/$X129, 0.000486)</f>
        <v>0.40500000000000003</v>
      </c>
      <c r="AT129" s="68">
        <f>IF($Z$3="yes", 0.000116000000000001/$X129, 0.000116000000000001)</f>
        <v>9.6666666666667511E-2</v>
      </c>
      <c r="AU129" s="88">
        <f>IF($Z$3="yes", 0.000629999999999999/$X129, 0.000629999999999999)</f>
        <v>0.52499999999999925</v>
      </c>
      <c r="AV129" s="88">
        <f>IF($Z$3="yes", 0.000619999999999999/$X129, 0.000619999999999999)</f>
        <v>0.51666666666666594</v>
      </c>
      <c r="AW129" s="88">
        <f>IF($Z$3="yes", 0.000745/$X129, 0.000745)</f>
        <v>0.62083333333333335</v>
      </c>
      <c r="AX129" s="88">
        <f>IF($Z$3="yes", 0.000369999999999999/$X129, 0.000369999999999999)</f>
        <v>0.30833333333333252</v>
      </c>
      <c r="AY129" s="88">
        <f>IF($Z$3="yes", 0.000513999999999998/$X129, 0.000513999999999998)</f>
        <v>0.42833333333333168</v>
      </c>
      <c r="AZ129" s="88">
        <f>IF($Z$3="yes", 0.000503999999999998/$X129, 0.000503999999999998)</f>
        <v>0.41999999999999843</v>
      </c>
      <c r="BA129" s="88">
        <f>IF($Z$3="yes", 0.000628999999999999/$X129, 0.000628999999999999)</f>
        <v>0.52416666666666589</v>
      </c>
      <c r="BB129" s="88">
        <f>IF($Z$3="yes", 0.000143999999999999/$X129, 0.000143999999999999)</f>
        <v>0.11999999999999918</v>
      </c>
      <c r="BC129" s="88">
        <f>IF($Z$3="yes", 0.000133999999999999/$X129, 0.000133999999999999)</f>
        <v>0.11166666666666585</v>
      </c>
      <c r="BD129" s="88">
        <f>IF($Z$3="yes", 0.000258999999999999/$X129, 0.000258999999999999)</f>
        <v>0.21583333333333249</v>
      </c>
      <c r="BE129" s="88">
        <f>IF($Z$3="yes", 0.00001/$X129, 0.00001)</f>
        <v>8.333333333333335E-3</v>
      </c>
      <c r="BF129" s="88">
        <f>IF($Z$3="yes", 0.000115/$X129, 0.000115)</f>
        <v>9.583333333333334E-2</v>
      </c>
      <c r="BG129" s="88">
        <f>IF($Z$3="yes", 0.000125/$X129, 0.000125)</f>
        <v>0.10416666666666667</v>
      </c>
      <c r="BH129" s="88">
        <f>IF($Z$3="yes", 0.000464047619047618/$X129, 0.000464047619047618)</f>
        <v>0.38670634920634839</v>
      </c>
      <c r="BI129" s="68"/>
      <c r="BJ129" s="68"/>
      <c r="BK129" s="68">
        <f>IF($BL$3="yes", MAX(0, (13814543 - 42690130.2) / 22830989.4416338), 42690130.2)</f>
        <v>42690130.200000003</v>
      </c>
      <c r="BL129" s="68">
        <f>IF($BL$3="yes", MAX(0, (13814543 - 45109488.8) / 22136559.9608449), 45109488.8)</f>
        <v>45109488.799999997</v>
      </c>
      <c r="BM129" s="68">
        <f>IF($BL$3="yes", MAX(0, (13814543 - 86799823.9) / 110250327.814107), 86799823.9)</f>
        <v>86799823.900000006</v>
      </c>
      <c r="BN129" s="68">
        <f>IF($BL$3="yes", MAX(0, (13814543 - 77780180.12) / 74694753.2142431), 77780180.12)</f>
        <v>77780180.120000005</v>
      </c>
      <c r="BO129" s="68">
        <f>IF($BL$3="yes", MAX(0, (13814543 - 100988969.77) / 145177964.187383), 100988969.77)</f>
        <v>100988969.77</v>
      </c>
      <c r="BP129" s="68">
        <f>IF($BL$3="yes", MAX(0, (13814543 - 76688831.63) / 137342696.264366), 76688831.63)</f>
        <v>76688831.629999995</v>
      </c>
      <c r="BQ129" s="68">
        <v>42.084343519555333</v>
      </c>
      <c r="BR129" s="68"/>
      <c r="BS129" s="68"/>
      <c r="BT129" s="68">
        <v>36420844.371428818</v>
      </c>
      <c r="BU129" s="68">
        <v>-5592868.3695738092</v>
      </c>
      <c r="BV129" s="68">
        <f>IF($Z$3="yes", 0.000389408927291658/$X129, 0.000389408927291658)</f>
        <v>0.32450743940971505</v>
      </c>
      <c r="BW129" s="68">
        <f>IF($Z$3="yes", 0.00077745714893953/$X129, 0.00077745714893953)</f>
        <v>0.64788095744960839</v>
      </c>
      <c r="BX129" s="68">
        <f>$BW$125 - $BV$125</f>
        <v>8.8096150344619331E-2</v>
      </c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81"/>
      <c r="CR129" s="81"/>
      <c r="CS129" s="68"/>
      <c r="CT129" s="68"/>
      <c r="CU129" s="68"/>
    </row>
    <row r="130" spans="1:99" ht="15.75" customHeight="1" thickBot="1" x14ac:dyDescent="0.3">
      <c r="A130" s="84"/>
      <c r="B130" s="67" t="s">
        <v>181</v>
      </c>
      <c r="C130" s="83" t="s">
        <v>447</v>
      </c>
      <c r="D130" s="67" t="s">
        <v>448</v>
      </c>
      <c r="E130" s="67">
        <v>1</v>
      </c>
      <c r="F130" s="85">
        <v>2.2000000000000001E-3</v>
      </c>
      <c r="G130" s="313">
        <v>44334</v>
      </c>
      <c r="H130" s="317">
        <v>3.7000000000000002E-3</v>
      </c>
      <c r="I130" s="317">
        <v>4.7000000000000002E-3</v>
      </c>
      <c r="J130" s="313">
        <v>44371</v>
      </c>
      <c r="K130" s="174">
        <f t="shared" si="4"/>
        <v>0.68181818181818188</v>
      </c>
      <c r="L130" s="175">
        <f t="shared" si="5"/>
        <v>1.1363636363636362</v>
      </c>
      <c r="M130" s="312">
        <v>44407</v>
      </c>
      <c r="N130" s="68"/>
      <c r="O130" s="68">
        <v>7394999999</v>
      </c>
      <c r="P130" s="68"/>
      <c r="Q130" s="68">
        <v>37</v>
      </c>
      <c r="R130" s="68"/>
      <c r="S130" s="68" t="s">
        <v>148</v>
      </c>
      <c r="T130" s="68"/>
      <c r="U130" s="68">
        <v>996</v>
      </c>
      <c r="V130" s="68">
        <v>11467067</v>
      </c>
      <c r="W130" s="68"/>
      <c r="X130" s="68">
        <v>2.2000000000000001E-3</v>
      </c>
      <c r="Y130" s="68">
        <v>2.138000000000001E-3</v>
      </c>
      <c r="Z130" s="68">
        <v>4.0990000000000054E-3</v>
      </c>
      <c r="AA130" s="68">
        <v>4.4440000000000026E-3</v>
      </c>
      <c r="AB130" s="68">
        <v>5.5740000000000034E-3</v>
      </c>
      <c r="AC130" s="68">
        <v>3.1300000000000008E-3</v>
      </c>
      <c r="AD130" s="68">
        <v>2.5071428571428549E-3</v>
      </c>
      <c r="AE130" s="68">
        <v>2.2250000000000008E-3</v>
      </c>
      <c r="AF130" s="68">
        <f>IF($Z$3="yes", 0.0000319786994674866/$X130, 0.0000319786994674866)</f>
        <v>1.4535772485221182E-2</v>
      </c>
      <c r="AG130" s="68">
        <f>IF($Z$3="yes", 0.000018466846684668/$X130, 0.000018466846684668)</f>
        <v>8.3940212203036362E-3</v>
      </c>
      <c r="AH130" s="68">
        <f>IF($Z$3="yes", -0.000107370948379352/$X130, -0.000107370948379352)</f>
        <v>-4.8804976536069092E-2</v>
      </c>
      <c r="AI130" s="68">
        <f>IF($Z$3="yes", -0.000115500600240096/$X130, -0.000115500600240096)</f>
        <v>-5.250027283640727E-2</v>
      </c>
      <c r="AJ130" s="68">
        <f>IF($Z$3="yes", -0.000163007518796992/$X130, -0.000163007518796992)</f>
        <v>-7.4094326725905449E-2</v>
      </c>
      <c r="AK130" s="68">
        <f>IF($Z$3="yes", -0.0000942857142857136/$X130, -0.0000942857142857136)</f>
        <v>-4.2857142857142538E-2</v>
      </c>
      <c r="AL130" s="68">
        <f>IF($Z$3="yes", -0.0000452380952380932/$X130, -0.0000452380952380932)</f>
        <v>-2.0562770562769634E-2</v>
      </c>
      <c r="AM130" s="68">
        <f>IF($Z$3="yes", 0.001961/$X130, 0.001961)</f>
        <v>0.89136363636363636</v>
      </c>
      <c r="AN130" s="68">
        <f>IF($Z$3="yes", 0.002306/$X130, 0.002306)</f>
        <v>1.0481818181818181</v>
      </c>
      <c r="AO130" s="68">
        <f>IF($Z$3="yes", 0.003436/$X130, 0.003436)</f>
        <v>1.5618181818181816</v>
      </c>
      <c r="AP130" s="68">
        <f>IF($Z$3="yes", 0.000992/$X130, 0.000992)</f>
        <v>0.45090909090909093</v>
      </c>
      <c r="AQ130" s="68">
        <f>IF($Z$3="yes", 0.000369142857142854/$X130, 0.000369142857142854)</f>
        <v>0.16779220779220635</v>
      </c>
      <c r="AR130" s="68">
        <f>IF($Z$3="yes", 0.0000870000000000007/$X130, 0.0000870000000000007)</f>
        <v>3.9545454545454863E-2</v>
      </c>
      <c r="AS130" s="68">
        <f>IF($Z$3="yes", 0.000344999999999998/$X130, 0.000344999999999998)</f>
        <v>0.15681818181818089</v>
      </c>
      <c r="AT130" s="68">
        <f>IF($Z$3="yes", 0.00147499999999999/$X130, 0.00147499999999999)</f>
        <v>0.67045454545454086</v>
      </c>
      <c r="AU130" s="88">
        <f>IF($Z$3="yes", 0.000969000000000003/$X130, 0.000969000000000003)</f>
        <v>0.44045454545454676</v>
      </c>
      <c r="AV130" s="88">
        <f>IF($Z$3="yes", 0.00159185714285714/$X130, 0.00159185714285714)</f>
        <v>0.72357142857142731</v>
      </c>
      <c r="AW130" s="88">
        <f>IF($Z$3="yes", 0.001874/$X130, 0.001874)</f>
        <v>0.85181818181818181</v>
      </c>
      <c r="AX130" s="88">
        <f>IF($Z$3="yes", 0.00113/$X130, 0.00113)</f>
        <v>0.51363636363636356</v>
      </c>
      <c r="AY130" s="88">
        <f>IF($Z$3="yes", 0.002444/$X130, 0.002444)</f>
        <v>1.1109090909090908</v>
      </c>
      <c r="AZ130" s="88">
        <f>IF($Z$3="yes", 0.00306685714285714/$X130, 0.00306685714285714)</f>
        <v>1.3940259740259726</v>
      </c>
      <c r="BA130" s="88">
        <f>IF($Z$3="yes", 0.003349/$X130, 0.003349)</f>
        <v>1.5222727272727272</v>
      </c>
      <c r="BB130" s="88">
        <f>IF($Z$3="yes", 0.001314/$X130, 0.001314)</f>
        <v>0.59727272727272729</v>
      </c>
      <c r="BC130" s="88">
        <f>IF($Z$3="yes", 0.00193685714285714/$X130, 0.00193685714285714)</f>
        <v>0.88038961038960895</v>
      </c>
      <c r="BD130" s="88">
        <f>IF($Z$3="yes", 0.002219/$X130, 0.002219)</f>
        <v>1.0086363636363636</v>
      </c>
      <c r="BE130" s="88">
        <f>IF($Z$3="yes", 0.000622857142857145/$X130, 0.000622857142857145)</f>
        <v>0.2831168831168841</v>
      </c>
      <c r="BF130" s="88">
        <f>IF($Z$3="yes", 0.000904999999999999/$X130, 0.000904999999999999)</f>
        <v>0.41136363636363588</v>
      </c>
      <c r="BG130" s="88">
        <f>IF($Z$3="yes", 0.000282142857142854/$X130, 0.000282142857142854)</f>
        <v>0.12824675324675183</v>
      </c>
      <c r="BH130" s="88">
        <f>IF($Z$3="yes", 0.00157813605442176/$X130, 0.00157813605442176)</f>
        <v>0.7173345701917091</v>
      </c>
      <c r="BI130" s="68"/>
      <c r="BJ130" s="68"/>
      <c r="BK130" s="68">
        <f>IF($BL$3="yes", MAX(0, (11467067 - 35638739) / 14173529.4787583), 35638739)</f>
        <v>35638739</v>
      </c>
      <c r="BL130" s="68">
        <f>IF($BL$3="yes", MAX(0, (11467067 - 51718983.3) / 26842604.7700889), 51718983.3)</f>
        <v>51718983.299999997</v>
      </c>
      <c r="BM130" s="68">
        <f>IF($BL$3="yes", MAX(0, (11467067 - 71266626.25) / 55328267.8090534), 71266626.25)</f>
        <v>71266626.25</v>
      </c>
      <c r="BN130" s="68">
        <f>IF($BL$3="yes", MAX(0, (11467067 - 153292173.24) / 280665405.770712), 153292173.24)</f>
        <v>153292173.24000001</v>
      </c>
      <c r="BO130" s="68">
        <f>IF($BL$3="yes", MAX(0, (11467067 - 214615754.56) / 246923385.730635), 214615754.56)</f>
        <v>214615754.56</v>
      </c>
      <c r="BP130" s="68">
        <f>IF($BL$3="yes", MAX(0, (11467067 - 139065810.325) / 236626313.879661), 139065810.325)</f>
        <v>139065810.32499999</v>
      </c>
      <c r="BQ130" s="68">
        <v>35.350988620716222</v>
      </c>
      <c r="BR130" s="68"/>
      <c r="BS130" s="68"/>
      <c r="BT130" s="68">
        <v>-1801053773.722172</v>
      </c>
      <c r="BU130" s="68">
        <v>-5173095.712439537</v>
      </c>
      <c r="BV130" s="68">
        <f>IF($Z$3="yes", 0.000718182217103591/$X130, 0.000718182217103591)</f>
        <v>0.32644646231981406</v>
      </c>
      <c r="BW130" s="68">
        <f>IF($Z$3="yes", 0.00156019034765452/$X130, 0.00156019034765452)</f>
        <v>0.70917743075205442</v>
      </c>
      <c r="BX130" s="68">
        <f>$BW$126 - $BV$126</f>
        <v>0.10007701525493237</v>
      </c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81"/>
      <c r="CR130" s="81"/>
      <c r="CS130" s="68"/>
      <c r="CT130" s="68"/>
      <c r="CU130" s="68"/>
    </row>
    <row r="131" spans="1:99" ht="15.75" customHeight="1" thickBot="1" x14ac:dyDescent="0.3">
      <c r="A131" s="84" t="s">
        <v>194</v>
      </c>
      <c r="B131" s="67" t="s">
        <v>128</v>
      </c>
      <c r="C131" s="83" t="s">
        <v>449</v>
      </c>
      <c r="D131" s="67" t="s">
        <v>450</v>
      </c>
      <c r="E131" s="67">
        <v>1</v>
      </c>
      <c r="F131" s="85">
        <v>1.84</v>
      </c>
      <c r="G131" s="313">
        <v>44333</v>
      </c>
      <c r="H131" s="317">
        <v>2.16</v>
      </c>
      <c r="I131" s="85">
        <v>2.52</v>
      </c>
      <c r="J131" s="313">
        <v>44361</v>
      </c>
      <c r="K131" s="121">
        <f t="shared" si="4"/>
        <v>0.17391304347826098</v>
      </c>
      <c r="L131" s="179">
        <f t="shared" si="5"/>
        <v>0.36956521739130421</v>
      </c>
      <c r="M131" s="312">
        <v>44407</v>
      </c>
      <c r="N131" s="68"/>
      <c r="O131" s="291">
        <v>20384630</v>
      </c>
      <c r="P131" s="291"/>
      <c r="Q131" s="291">
        <v>28</v>
      </c>
      <c r="R131" s="68" t="s">
        <v>152</v>
      </c>
      <c r="S131" s="68" t="s">
        <v>148</v>
      </c>
      <c r="T131" s="68" t="s">
        <v>313</v>
      </c>
      <c r="U131" s="68">
        <v>176</v>
      </c>
      <c r="V131" s="68">
        <v>211140</v>
      </c>
      <c r="W131" s="68"/>
      <c r="X131" s="68">
        <v>1.9</v>
      </c>
      <c r="Y131" s="68">
        <v>2.2811459999999988</v>
      </c>
      <c r="Z131" s="68">
        <v>3.0907039999999988</v>
      </c>
      <c r="AA131" s="68">
        <v>3.3268</v>
      </c>
      <c r="AB131" s="68">
        <v>3.8428</v>
      </c>
      <c r="AC131" s="68">
        <v>2.5844999999999989</v>
      </c>
      <c r="AD131" s="68">
        <v>2.1900000000000008</v>
      </c>
      <c r="AE131" s="68">
        <v>1.9225000000000001</v>
      </c>
      <c r="AF131" s="68">
        <f>IF($Z$3="yes", 0.0151369556738918/$X131, 0.0151369556738918)</f>
        <v>7.9668187757325273E-3</v>
      </c>
      <c r="AG131" s="68">
        <f>IF($Z$3="yes", 0.0107377197719772/$X131, 0.0107377197719772)</f>
        <v>5.651431458935369E-3</v>
      </c>
      <c r="AH131" s="68">
        <f>IF($Z$3="yes", -0.0469541416566625/$X131, -0.0469541416566625)</f>
        <v>-2.4712706135085527E-2</v>
      </c>
      <c r="AI131" s="68">
        <f>IF($Z$3="yes", -0.0340734693877549/$X131, -0.0340734693877549)</f>
        <v>-1.7933404940923631E-2</v>
      </c>
      <c r="AJ131" s="68">
        <f>IF($Z$3="yes", -0.10582706766917/$X131, -0.10582706766917)</f>
        <v>-5.569845666798421E-2</v>
      </c>
      <c r="AK131" s="68">
        <f>IF($Z$3="yes", -0.0823736263736269/$X131, -0.0823736263736269)</f>
        <v>-4.3354540196645738E-2</v>
      </c>
      <c r="AL131" s="68">
        <f>IF($Z$3="yes", -0.0311904761904772/$X131, -0.0311904761904772)</f>
        <v>-1.6416040100251158E-2</v>
      </c>
      <c r="AM131" s="68">
        <f>IF($Z$3="yes", 0.809557999999999/$X131, 0.809557999999999)</f>
        <v>0.42608315789473633</v>
      </c>
      <c r="AN131" s="68">
        <f>IF($Z$3="yes", 1.045654/$X131, 1.045654)</f>
        <v>0.55034421052631588</v>
      </c>
      <c r="AO131" s="68">
        <f>IF($Z$3="yes", 1.561654/$X131, 1.561654)</f>
        <v>0.82192315789473691</v>
      </c>
      <c r="AP131" s="68">
        <f>IF($Z$3="yes", 0.303353999999999/$X131, 0.303353999999999)</f>
        <v>0.1596599999999995</v>
      </c>
      <c r="AQ131" s="68">
        <f>IF($Z$3="yes", 0.0911459999999979/$X131, 0.0911459999999979)</f>
        <v>4.7971578947367317E-2</v>
      </c>
      <c r="AR131" s="68">
        <f>IF($Z$3="yes", 0.358645999999998/$X131, 0.358645999999998)</f>
        <v>0.18876105263157791</v>
      </c>
      <c r="AS131" s="68">
        <f>IF($Z$3="yes", 0.236096000000001/$X131, 0.236096000000001)</f>
        <v>0.12426105263157948</v>
      </c>
      <c r="AT131" s="68">
        <f>IF($Z$3="yes", 0.752096000000001/$X131, 0.752096000000001)</f>
        <v>0.39584000000000052</v>
      </c>
      <c r="AU131" s="88">
        <f>IF($Z$3="yes", 0.506203999999999/$X131, 0.506203999999999)</f>
        <v>0.26642315789473631</v>
      </c>
      <c r="AV131" s="88">
        <f>IF($Z$3="yes", 0.900703999999997/$X131, 0.900703999999997)</f>
        <v>0.4740547368421037</v>
      </c>
      <c r="AW131" s="88">
        <f>IF($Z$3="yes", 1.16820399999999/$X131, 1.16820399999999)</f>
        <v>0.61484421052631055</v>
      </c>
      <c r="AX131" s="88">
        <f>IF($Z$3="yes", 0.516/$X131, 0.516)</f>
        <v>0.27157894736842109</v>
      </c>
      <c r="AY131" s="88">
        <f>IF($Z$3="yes", 1.2583/$X131, 1.2583)</f>
        <v>0.66226315789473689</v>
      </c>
      <c r="AZ131" s="88">
        <f>IF($Z$3="yes", 1.65279999999999/$X131, 1.65279999999999)</f>
        <v>0.86989473684210006</v>
      </c>
      <c r="BA131" s="88">
        <f>IF($Z$3="yes", 1.9203/$X131, 1.9203)</f>
        <v>1.0106842105263159</v>
      </c>
      <c r="BB131" s="88">
        <f>IF($Z$3="yes", 0.742300000000001/$X131, 0.742300000000001)</f>
        <v>0.3906842105263163</v>
      </c>
      <c r="BC131" s="88">
        <f>IF($Z$3="yes", 1.13679999999999/$X131, 1.13679999999999)</f>
        <v>0.59831578947367903</v>
      </c>
      <c r="BD131" s="88">
        <f>IF($Z$3="yes", 1.40429999999999/$X131, 1.40429999999999)</f>
        <v>0.73910526315788949</v>
      </c>
      <c r="BE131" s="88">
        <f>IF($Z$3="yes", 0.394499999999997/$X131, 0.394499999999997)</f>
        <v>0.20763157894736686</v>
      </c>
      <c r="BF131" s="88">
        <f>IF($Z$3="yes", 0.661999999999998/$X131, 0.661999999999998)</f>
        <v>0.34842105263157791</v>
      </c>
      <c r="BG131" s="88">
        <f>IF($Z$3="yes", 0.2675/$X131, 0.2675)</f>
        <v>0.14078947368421055</v>
      </c>
      <c r="BH131" s="88">
        <f>IF($Z$3="yes", 0.949781142857142/$X131, 0.949781142857142)</f>
        <v>0.49988481203007473</v>
      </c>
      <c r="BI131" s="68"/>
      <c r="BJ131" s="68"/>
      <c r="BK131" s="68">
        <f>IF($BL$3="yes", MAX(0, (211140 - 699289) / 345554.88281545), 699289)</f>
        <v>699289</v>
      </c>
      <c r="BL131" s="68">
        <f>IF($BL$3="yes", MAX(0, (211140 - 1138341.4) / 552988.489665417), 1138341.4)</f>
        <v>1138341.3999999999</v>
      </c>
      <c r="BM131" s="68">
        <f>IF($BL$3="yes", MAX(0, (211140 - 1970843.05) / 3068984.9492969), 1970843.05)</f>
        <v>1970843.05</v>
      </c>
      <c r="BN131" s="68">
        <f>IF($BL$3="yes", MAX(0, (211140 - 927416.48) / 2127803.53772151), 927416.48)</f>
        <v>927416.48</v>
      </c>
      <c r="BO131" s="68">
        <f>IF($BL$3="yes", MAX(0, (211140 - 1219255.87) / 2523732.5189784), 1219255.87)</f>
        <v>1219255.8700000001</v>
      </c>
      <c r="BP131" s="68">
        <f>IF($BL$3="yes", MAX(0, (211140 - 1975010.875) / 4604441.25613914), 1975010.875)</f>
        <v>1975010.875</v>
      </c>
      <c r="BQ131" s="68">
        <v>33.996448635536801</v>
      </c>
      <c r="BR131" s="68"/>
      <c r="BS131" s="68"/>
      <c r="BT131" s="68">
        <v>-2850796.2670180569</v>
      </c>
      <c r="BU131" s="68">
        <v>-341986.16711268621</v>
      </c>
      <c r="BV131" s="68">
        <f>IF($Z$3="yes", 0.356433109281761/$X131, 0.356433109281761)</f>
        <v>0.18759637330619</v>
      </c>
      <c r="BW131" s="68">
        <f>IF($Z$3="yes", 0.487597759012909/$X131, 0.487597759012909)</f>
        <v>0.25663039948047844</v>
      </c>
      <c r="BX131" s="68">
        <f>$BW$131 - $BV$131</f>
        <v>6.9034026174288443E-2</v>
      </c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81"/>
      <c r="CR131" s="81"/>
      <c r="CS131" s="68"/>
      <c r="CT131" s="68"/>
      <c r="CU131" s="68"/>
    </row>
    <row r="132" spans="1:99" ht="15.75" customHeight="1" thickBot="1" x14ac:dyDescent="0.3">
      <c r="A132" s="84"/>
      <c r="B132" s="67" t="s">
        <v>128</v>
      </c>
      <c r="C132" s="83" t="s">
        <v>451</v>
      </c>
      <c r="D132" s="67" t="s">
        <v>452</v>
      </c>
      <c r="E132" s="67">
        <v>1</v>
      </c>
      <c r="F132" s="85">
        <v>69</v>
      </c>
      <c r="G132" s="313">
        <v>44332</v>
      </c>
      <c r="H132" s="317">
        <v>68.61</v>
      </c>
      <c r="I132" s="85">
        <v>75.25</v>
      </c>
      <c r="J132" s="313">
        <v>44364</v>
      </c>
      <c r="K132" s="94">
        <f t="shared" si="4"/>
        <v>-5.6521739130435122E-3</v>
      </c>
      <c r="L132" s="105">
        <f t="shared" si="5"/>
        <v>9.0579710144927494E-2</v>
      </c>
      <c r="M132" s="312">
        <v>44373</v>
      </c>
      <c r="N132" s="68"/>
      <c r="O132" s="291">
        <v>582734777</v>
      </c>
      <c r="P132" s="291">
        <v>575870000</v>
      </c>
      <c r="Q132" s="291">
        <v>32</v>
      </c>
      <c r="R132" s="68" t="s">
        <v>131</v>
      </c>
      <c r="S132" s="68" t="s">
        <v>281</v>
      </c>
      <c r="T132" s="68" t="s">
        <v>453</v>
      </c>
      <c r="U132" s="68">
        <v>284</v>
      </c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88"/>
      <c r="AV132" s="88"/>
      <c r="AW132" s="88"/>
      <c r="AX132" s="88"/>
      <c r="AY132" s="88"/>
      <c r="AZ132" s="88"/>
      <c r="BA132" s="88"/>
      <c r="BB132" s="88"/>
      <c r="BC132" s="88"/>
      <c r="BD132" s="88"/>
      <c r="BE132" s="88"/>
      <c r="BF132" s="88"/>
      <c r="BG132" s="88"/>
      <c r="BH132" s="8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81"/>
      <c r="CR132" s="81"/>
      <c r="CS132" s="68"/>
      <c r="CT132" s="68"/>
      <c r="CU132" s="68"/>
    </row>
    <row r="133" spans="1:99" ht="15.75" customHeight="1" thickBot="1" x14ac:dyDescent="0.3">
      <c r="A133" s="84"/>
      <c r="B133" s="67" t="s">
        <v>181</v>
      </c>
      <c r="C133" s="83" t="s">
        <v>454</v>
      </c>
      <c r="D133" s="67" t="s">
        <v>455</v>
      </c>
      <c r="E133" s="67">
        <v>1</v>
      </c>
      <c r="F133" s="85">
        <v>1.1299999999999999E-2</v>
      </c>
      <c r="G133" s="313">
        <v>44329</v>
      </c>
      <c r="H133" s="317">
        <v>6.0000000000000001E-3</v>
      </c>
      <c r="I133" s="317">
        <v>1.4999999999999999E-2</v>
      </c>
      <c r="J133" s="313">
        <v>44335</v>
      </c>
      <c r="K133" s="125">
        <f t="shared" si="4"/>
        <v>-0.46902654867256632</v>
      </c>
      <c r="L133" s="120">
        <f t="shared" si="5"/>
        <v>0.32743362831858414</v>
      </c>
      <c r="M133" s="312">
        <v>44407</v>
      </c>
      <c r="N133" s="68"/>
      <c r="O133" s="68">
        <v>649917054</v>
      </c>
      <c r="P133" s="68"/>
      <c r="Q133" s="68">
        <v>6</v>
      </c>
      <c r="R133" s="68"/>
      <c r="S133" s="68" t="s">
        <v>220</v>
      </c>
      <c r="T133" s="68"/>
      <c r="U133" s="68">
        <v>36</v>
      </c>
      <c r="V133" s="68">
        <v>14441911</v>
      </c>
      <c r="W133" s="68"/>
      <c r="X133" s="68">
        <v>1.24E-2</v>
      </c>
      <c r="Y133" s="68">
        <v>5.7220000000000049E-3</v>
      </c>
      <c r="Z133" s="68">
        <v>8.7250000000000088E-3</v>
      </c>
      <c r="AA133" s="68">
        <v>9.0160000000000032E-3</v>
      </c>
      <c r="AB133" s="68">
        <v>9.8280000000000051E-3</v>
      </c>
      <c r="AC133" s="68">
        <v>9.7449999999999915E-3</v>
      </c>
      <c r="AD133" s="68">
        <v>1.007142857142857E-2</v>
      </c>
      <c r="AE133" s="68">
        <v>9.7624999999999986E-3</v>
      </c>
      <c r="AF133" s="68">
        <f>IF($Z$3="yes", 0.0000492361809045225/$X133, 0.0000492361809045225)</f>
        <v>3.9706597503647179E-3</v>
      </c>
      <c r="AG133" s="68">
        <f>IF($Z$3="yes", 0.0000520666066606653/$X133, 0.0000520666066606653)</f>
        <v>4.1989198919891368E-3</v>
      </c>
      <c r="AH133" s="68">
        <f>IF($Z$3="yes", 0.0000315390156062415/$X133, 0.0000315390156062415)</f>
        <v>2.543469000503347E-3</v>
      </c>
      <c r="AI133" s="68">
        <f>IF($Z$3="yes", -0.0000930516206482602/$X133, -0.0000930516206482602)</f>
        <v>-7.5041629555048558E-3</v>
      </c>
      <c r="AJ133" s="68">
        <f>IF($Z$3="yes", 0.0000644360902255622/$X133, 0.0000644360902255622)</f>
        <v>5.196458889158242E-3</v>
      </c>
      <c r="AK133" s="68">
        <f>IF($Z$3="yes", -0.0000206593406593376/$X133, -0.0000206593406593376)</f>
        <v>-1.666075859624E-3</v>
      </c>
      <c r="AL133" s="68">
        <f>IF($Z$3="yes", 0.000215476190476211/$X133, 0.000215476190476211)</f>
        <v>1.737711213517831E-2</v>
      </c>
      <c r="AM133" s="68">
        <f>IF($Z$3="yes", 0.003003/$X133, 0.003003)</f>
        <v>0.24217741935483872</v>
      </c>
      <c r="AN133" s="68">
        <f>IF($Z$3="yes", 0.00329399999999999/$X133, 0.00329399999999999)</f>
        <v>0.26564516129032179</v>
      </c>
      <c r="AO133" s="68">
        <f>IF($Z$3="yes", 0.004106/$X133, 0.004106)</f>
        <v>0.33112903225806456</v>
      </c>
      <c r="AP133" s="68">
        <f>IF($Z$3="yes", 0.00402299999999998/$X133, 0.00402299999999998)</f>
        <v>0.3244354838709661</v>
      </c>
      <c r="AQ133" s="68">
        <f>IF($Z$3="yes", 0.00434942857142856/$X133, 0.00434942857142856)</f>
        <v>0.35076036866359356</v>
      </c>
      <c r="AR133" s="68">
        <f>IF($Z$3="yes", 0.00404049999999999/$X133, 0.00404049999999999)</f>
        <v>0.32584677419354763</v>
      </c>
      <c r="AS133" s="68">
        <f>IF($Z$3="yes", 0.000290999999999994/$X133, 0.000290999999999994)</f>
        <v>2.3467741935483389E-2</v>
      </c>
      <c r="AT133" s="68">
        <f>IF($Z$3="yes", 0.00110299999999999/$X133, 0.00110299999999999)</f>
        <v>8.8951612903225008E-2</v>
      </c>
      <c r="AU133" s="88">
        <f>IF($Z$3="yes", 0.00101999999999998/$X133, 0.00101999999999998)</f>
        <v>8.225806451612741E-2</v>
      </c>
      <c r="AV133" s="88">
        <f>IF($Z$3="yes", 0.00134642857142855/$X133, 0.00134642857142855)</f>
        <v>0.10858294930875405</v>
      </c>
      <c r="AW133" s="88">
        <f>IF($Z$3="yes", 0.00103749999999998/$X133, 0.00103749999999998)</f>
        <v>8.3669354838708077E-2</v>
      </c>
      <c r="AX133" s="88">
        <f>IF($Z$3="yes", 0.000812000000000002/$X133, 0.000812000000000002)</f>
        <v>6.5483870967742094E-2</v>
      </c>
      <c r="AY133" s="88">
        <f>IF($Z$3="yes", 0.0000830000000000136/$X133, 0.0000830000000000136)</f>
        <v>6.6935483870978717E-3</v>
      </c>
      <c r="AZ133" s="88">
        <f>IF($Z$3="yes", 0.000243428571428561/$X133, 0.000243428571428561)</f>
        <v>1.9631336405529113E-2</v>
      </c>
      <c r="BA133" s="88">
        <f>IF($Z$3="yes", 0.0000655000000000065/$X133, 0.0000655000000000065)</f>
        <v>5.282258064516653E-3</v>
      </c>
      <c r="BB133" s="88">
        <f>IF($Z$3="yes", 0.000728999999999988/$X133, 0.000728999999999988)</f>
        <v>5.8790322580644198E-2</v>
      </c>
      <c r="BC133" s="88">
        <f>IF($Z$3="yes", 0.00105542857142856/$X133, 0.00105542857142856)</f>
        <v>8.5115207373270968E-2</v>
      </c>
      <c r="BD133" s="88">
        <f>IF($Z$3="yes", 0.000746499999999995/$X133, 0.000746499999999995)</f>
        <v>6.0201612903225406E-2</v>
      </c>
      <c r="BE133" s="88">
        <f>IF($Z$3="yes", 0.000326428571428574/$X133, 0.000326428571428574)</f>
        <v>2.6324884792626933E-2</v>
      </c>
      <c r="BF133" s="88">
        <f>IF($Z$3="yes", 0.000017500000000007/$X133, 0.000017500000000007)</f>
        <v>1.4112903225812095E-3</v>
      </c>
      <c r="BG133" s="88">
        <f>IF($Z$3="yes", 0.000308928571428567/$X133, 0.000308928571428567)</f>
        <v>2.4913594470045725E-2</v>
      </c>
      <c r="BH133" s="88">
        <f>IF($Z$3="yes", 0.00216849999999999/$X133, 0.00216849999999999)</f>
        <v>0.1748790322580637</v>
      </c>
      <c r="BI133" s="68"/>
      <c r="BJ133" s="68"/>
      <c r="BK133" s="68">
        <f>IF($BL$3="yes", MAX(0, (14441911 - 4029040) / 5245036.58129794), 4029040)</f>
        <v>4029040</v>
      </c>
      <c r="BL133" s="68">
        <f>IF($BL$3="yes", MAX(0, (14441911 - 3246191.9) / 3905839.98885129), 3246191.9)</f>
        <v>3246191.9</v>
      </c>
      <c r="BM133" s="68">
        <f>IF($BL$3="yes", MAX(0, (14441911 - 4104029.65) / 4803025.02761467), 4104029.65)</f>
        <v>4104029.65</v>
      </c>
      <c r="BN133" s="68">
        <f>IF($BL$3="yes", MAX(0, (14441911 - 3160345.02) / 3463450.8508424), 3160345.02)</f>
        <v>3160345.02</v>
      </c>
      <c r="BO133" s="68">
        <f>IF($BL$3="yes", MAX(0, (14441911 - 10107675.48) / 16237927.882285), 10107675.48)</f>
        <v>10107675.48</v>
      </c>
      <c r="BP133" s="68">
        <f>IF($BL$3="yes", MAX(0, (14441911 - 6570557.04) / 12470369.4800125), 6570557.04)</f>
        <v>6570557.04</v>
      </c>
      <c r="BQ133" s="68">
        <v>65.189114753814408</v>
      </c>
      <c r="BR133" s="68"/>
      <c r="BS133" s="68"/>
      <c r="BT133" s="68">
        <v>522132.92572838161</v>
      </c>
      <c r="BU133" s="68">
        <v>1792591.16488115</v>
      </c>
      <c r="BV133" s="68">
        <f>IF($Z$3="yes", 0.00211497267703575/$X133, 0.00211497267703575)</f>
        <v>0.1705623126641734</v>
      </c>
      <c r="BW133" s="68">
        <f>IF($Z$3="yes", 0.00264028049782081/$X133, 0.00264028049782081)</f>
        <v>0.2129258465984524</v>
      </c>
      <c r="BX133" s="68">
        <f>$BW$133 - $BV$133</f>
        <v>4.2363533934278996E-2</v>
      </c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81"/>
      <c r="CR133" s="81"/>
      <c r="CS133" s="68"/>
      <c r="CT133" s="68"/>
      <c r="CU133" s="68"/>
    </row>
    <row r="134" spans="1:99" ht="15.75" customHeight="1" thickBot="1" x14ac:dyDescent="0.3">
      <c r="A134" s="84"/>
      <c r="B134" s="67" t="s">
        <v>181</v>
      </c>
      <c r="C134" s="83" t="s">
        <v>454</v>
      </c>
      <c r="D134" s="67" t="s">
        <v>456</v>
      </c>
      <c r="E134" s="67">
        <v>1</v>
      </c>
      <c r="F134" s="85">
        <v>4.07E-2</v>
      </c>
      <c r="G134" s="313">
        <v>44329</v>
      </c>
      <c r="H134" s="317">
        <v>4.3E-3</v>
      </c>
      <c r="I134" s="317">
        <v>0.11899999999999999</v>
      </c>
      <c r="J134" s="313">
        <v>44361</v>
      </c>
      <c r="K134" s="142">
        <f t="shared" ref="K134:K197" si="6">IF(AND(F134&lt;&gt;"",H134&lt;&gt;""), (H134/F134)-100%, "")</f>
        <v>-0.89434889434889431</v>
      </c>
      <c r="L134" s="149">
        <f t="shared" ref="L134:L197" si="7">IF(AND(F134&lt;&gt;"",I134&lt;&gt;""), (I134/F134)-100%, "")</f>
        <v>1.9238329238329235</v>
      </c>
      <c r="M134" s="312">
        <v>44407</v>
      </c>
      <c r="N134" s="68"/>
      <c r="O134" s="68">
        <v>369462271</v>
      </c>
      <c r="P134" s="68"/>
      <c r="Q134" s="68">
        <v>32</v>
      </c>
      <c r="R134" s="68"/>
      <c r="S134" s="68" t="s">
        <v>148</v>
      </c>
      <c r="T134" s="68"/>
      <c r="U134" s="68">
        <v>500</v>
      </c>
      <c r="V134" s="68">
        <v>1387637</v>
      </c>
      <c r="W134" s="68"/>
      <c r="X134" s="68">
        <v>3.9699999999999999E-2</v>
      </c>
      <c r="Y134" s="68">
        <v>4.7495500000000038E-2</v>
      </c>
      <c r="Z134" s="68">
        <v>6.9950000000000012E-2</v>
      </c>
      <c r="AA134" s="68">
        <v>7.35760000000001E-2</v>
      </c>
      <c r="AB134" s="68">
        <v>8.761600000000011E-2</v>
      </c>
      <c r="AC134" s="68">
        <v>5.2694999999999971E-2</v>
      </c>
      <c r="AD134" s="68">
        <v>4.9349999999999991E-2</v>
      </c>
      <c r="AE134" s="68">
        <v>4.5500000000000027E-2</v>
      </c>
      <c r="AF134" s="68">
        <f>IF($Z$3="yes", 0.000382513087827195/$X134, 0.000382513087827195)</f>
        <v>9.6350903734809829E-3</v>
      </c>
      <c r="AG134" s="68">
        <f>IF($Z$3="yes", 0.000139685568556852/$X134, 0.000139685568556852)</f>
        <v>3.5185281752355669E-3</v>
      </c>
      <c r="AH134" s="68">
        <f>IF($Z$3="yes", -0.00134898439375751/$X134, -0.00134898439375751)</f>
        <v>-3.3979455762153908E-2</v>
      </c>
      <c r="AI134" s="68">
        <f>IF($Z$3="yes", -0.00138660264105643/$X134, -0.00138660264105643)</f>
        <v>-3.4927018666408814E-2</v>
      </c>
      <c r="AJ134" s="68">
        <f>IF($Z$3="yes", -0.00107300751879693/$X134, -0.00107300751879693)</f>
        <v>-2.7027897198915116E-2</v>
      </c>
      <c r="AK134" s="68">
        <f>IF($Z$3="yes", -0.00121120879120882/$X134, -0.00121120879120882)</f>
        <v>-3.0509037561935012E-2</v>
      </c>
      <c r="AL134" s="68">
        <f>IF($Z$3="yes", -0.000864285714285682/$X134, -0.000864285714285682)</f>
        <v>-2.1770421014752697E-2</v>
      </c>
      <c r="AM134" s="68">
        <f>IF($Z$3="yes", 0.0224544999999999/$X134, 0.0224544999999999)</f>
        <v>0.5656045340050353</v>
      </c>
      <c r="AN134" s="68">
        <f>IF($Z$3="yes", 0.0260805/$X134, 0.0260805)</f>
        <v>0.65693954659949627</v>
      </c>
      <c r="AO134" s="68">
        <f>IF($Z$3="yes", 0.0401205/$X134, 0.0401205)</f>
        <v>1.0105919395465996</v>
      </c>
      <c r="AP134" s="68">
        <f>IF($Z$3="yes", 0.00519949999999993/$X134, 0.00519949999999993)</f>
        <v>0.13096977329974635</v>
      </c>
      <c r="AQ134" s="68">
        <f>IF($Z$3="yes", 0.00185449999999995/$X134, 0.00185449999999995)</f>
        <v>4.6712846347605794E-2</v>
      </c>
      <c r="AR134" s="68">
        <f>IF($Z$3="yes", 0.00199550000000001/$X134, 0.00199550000000001)</f>
        <v>5.026448362720428E-2</v>
      </c>
      <c r="AS134" s="68">
        <f>IF($Z$3="yes", 0.00362600000000008/$X134, 0.00362600000000008)</f>
        <v>9.133501259446046E-2</v>
      </c>
      <c r="AT134" s="68">
        <f>IF($Z$3="yes", 0.0176660000000001/$X134, 0.0176660000000001)</f>
        <v>0.44498740554156418</v>
      </c>
      <c r="AU134" s="88">
        <f>IF($Z$3="yes", 0.017255/$X134, 0.017255)</f>
        <v>0.43463476070528967</v>
      </c>
      <c r="AV134" s="88">
        <f>IF($Z$3="yes", 0.0206/$X134, 0.0206)</f>
        <v>0.51889168765743077</v>
      </c>
      <c r="AW134" s="88">
        <f>IF($Z$3="yes", 0.0244499999999999/$X134, 0.0244499999999999)</f>
        <v>0.61586901763223934</v>
      </c>
      <c r="AX134" s="88">
        <f>IF($Z$3="yes", 0.01404/$X134, 0.01404)</f>
        <v>0.35365239294710327</v>
      </c>
      <c r="AY134" s="88">
        <f>IF($Z$3="yes", 0.0349210000000001/$X134, 0.0349210000000001)</f>
        <v>0.87962216624685385</v>
      </c>
      <c r="AZ134" s="88">
        <f>IF($Z$3="yes", 0.0382660000000001/$X134, 0.0382660000000001)</f>
        <v>0.9638790931989949</v>
      </c>
      <c r="BA134" s="88">
        <f>IF($Z$3="yes", 0.042116/$X134, 0.042116)</f>
        <v>1.0608564231738036</v>
      </c>
      <c r="BB134" s="88">
        <f>IF($Z$3="yes", 0.0208810000000001/$X134, 0.0208810000000001)</f>
        <v>0.5259697732997507</v>
      </c>
      <c r="BC134" s="88">
        <f>IF($Z$3="yes", 0.0242260000000001/$X134, 0.0242260000000001)</f>
        <v>0.61022670025189174</v>
      </c>
      <c r="BD134" s="88">
        <f>IF($Z$3="yes", 0.028076/$X134, 0.028076)</f>
        <v>0.70720403022670031</v>
      </c>
      <c r="BE134" s="88">
        <f>IF($Z$3="yes", 0.00334499999999998/$X134, 0.00334499999999998)</f>
        <v>8.4256926952140557E-2</v>
      </c>
      <c r="BF134" s="88">
        <f>IF($Z$3="yes", 0.00719499999999994/$X134, 0.00719499999999994)</f>
        <v>0.18123425692695064</v>
      </c>
      <c r="BG134" s="88">
        <f>IF($Z$3="yes", 0.00384999999999996/$X134, 0.00384999999999996)</f>
        <v>9.6977329974810067E-2</v>
      </c>
      <c r="BH134" s="88">
        <f>IF($Z$3="yes", 0.0211682380952381/$X134, 0.0211682380952381)</f>
        <v>0.53320498980448616</v>
      </c>
      <c r="BI134" s="68"/>
      <c r="BJ134" s="68"/>
      <c r="BK134" s="68">
        <f>IF($BL$3="yes", MAX(0, (1387637 - 1944810.6) / 748922.734845885), 1944810.6)</f>
        <v>1944810.6</v>
      </c>
      <c r="BL134" s="68">
        <f>IF($BL$3="yes", MAX(0, (1387637 - 1905028.9) / 659915.942099363), 1905028.9)</f>
        <v>1905028.9</v>
      </c>
      <c r="BM134" s="68">
        <f>IF($BL$3="yes", MAX(0, (1387637 - 1859988.15) / 659506.350820466), 1859988.15)</f>
        <v>1859988.15</v>
      </c>
      <c r="BN134" s="68">
        <f>IF($BL$3="yes", MAX(0, (1387637 - 2430598.78) / 1607421.46240693), 2430598.78)</f>
        <v>2430598.7799999998</v>
      </c>
      <c r="BO134" s="68">
        <f>IF($BL$3="yes", MAX(0, (1387637 - 5503547.03) / 9299458.26048099), 5503547.03)</f>
        <v>5503547.0300000003</v>
      </c>
      <c r="BP134" s="68">
        <f>IF($BL$3="yes", MAX(0, (1387637 - 9419331.515) / 18146094.6332345), 9419331.515)</f>
        <v>9419331.5150000006</v>
      </c>
      <c r="BQ134" s="68">
        <v>29.385690895948709</v>
      </c>
      <c r="BR134" s="68"/>
      <c r="BS134" s="68"/>
      <c r="BT134" s="68">
        <v>11158814.97546963</v>
      </c>
      <c r="BU134" s="68">
        <v>465269.30735741562</v>
      </c>
      <c r="BV134" s="68">
        <f>IF($Z$3="yes", 0.00944332828214672/$X134, 0.00944332828214672)</f>
        <v>0.23786721113719697</v>
      </c>
      <c r="BW134" s="68">
        <f>IF($Z$3="yes", 0.0176810039487647/$X134, 0.0176810039487647)</f>
        <v>0.4453653387598161</v>
      </c>
      <c r="BX134" s="68">
        <f>$BW$134 - $BV$134</f>
        <v>0.20749812762261913</v>
      </c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81"/>
      <c r="CR134" s="81"/>
      <c r="CS134" s="68"/>
      <c r="CT134" s="68"/>
      <c r="CU134" s="68"/>
    </row>
    <row r="135" spans="1:99" ht="15.75" customHeight="1" thickBot="1" x14ac:dyDescent="0.3">
      <c r="A135" s="84"/>
      <c r="B135" s="67" t="s">
        <v>181</v>
      </c>
      <c r="C135" s="83" t="s">
        <v>454</v>
      </c>
      <c r="D135" s="67" t="s">
        <v>457</v>
      </c>
      <c r="E135" s="67">
        <v>1</v>
      </c>
      <c r="F135" s="85">
        <v>1.0200000000000001E-2</v>
      </c>
      <c r="G135" s="313">
        <v>44329</v>
      </c>
      <c r="H135" s="317">
        <v>8.0999999999999996E-3</v>
      </c>
      <c r="I135" s="317">
        <v>1.4999999999999999E-2</v>
      </c>
      <c r="J135" s="313">
        <v>44334</v>
      </c>
      <c r="K135" s="180">
        <f t="shared" si="6"/>
        <v>-0.20588235294117652</v>
      </c>
      <c r="L135" s="181">
        <f t="shared" si="7"/>
        <v>0.47058823529411753</v>
      </c>
      <c r="M135" s="312">
        <v>44407</v>
      </c>
      <c r="N135" s="68"/>
      <c r="O135" s="68">
        <v>264541664</v>
      </c>
      <c r="P135" s="68"/>
      <c r="Q135" s="68">
        <v>5</v>
      </c>
      <c r="R135" s="68"/>
      <c r="S135" s="68" t="s">
        <v>220</v>
      </c>
      <c r="T135" s="68"/>
      <c r="U135" s="68">
        <v>44</v>
      </c>
      <c r="V135" s="68">
        <v>5566710</v>
      </c>
      <c r="W135" s="68"/>
      <c r="X135" s="68">
        <v>1.2E-2</v>
      </c>
      <c r="Y135" s="68">
        <v>7.3045000000000028E-3</v>
      </c>
      <c r="Z135" s="68">
        <v>9.7070000000000073E-3</v>
      </c>
      <c r="AA135" s="68">
        <v>9.2520000000000067E-3</v>
      </c>
      <c r="AB135" s="68">
        <v>1.0758000000000011E-2</v>
      </c>
      <c r="AC135" s="68">
        <v>7.9249999999999998E-3</v>
      </c>
      <c r="AD135" s="68">
        <v>8.5714285714285701E-3</v>
      </c>
      <c r="AE135" s="68">
        <v>9.5874999999999919E-3</v>
      </c>
      <c r="AF135" s="68">
        <f>IF($Z$3="yes", 0.0000354444611115276/$X135, 0.0000354444611115276)</f>
        <v>2.9537050926272995E-3</v>
      </c>
      <c r="AG135" s="68">
        <f>IF($Z$3="yes", 0.0000210615061506135/$X135, 0.0000210615061506135)</f>
        <v>1.755125512551125E-3</v>
      </c>
      <c r="AH135" s="68">
        <f>IF($Z$3="yes", -0.000076196878751504/$X135, -0.000076196878751504)</f>
        <v>-6.3497398959586667E-3</v>
      </c>
      <c r="AI135" s="68">
        <f>IF($Z$3="yes", -0.000225887154861947/$X135, -0.000225887154861947)</f>
        <v>-1.8823929571828917E-2</v>
      </c>
      <c r="AJ135" s="68">
        <f>IF($Z$3="yes", 0.000255563909774443/$X135, 0.000255563909774443)</f>
        <v>2.1296992481203585E-2</v>
      </c>
      <c r="AK135" s="68">
        <f>IF($Z$3="yes", 0.000363956043956046/$X135, 0.000363956043956046)</f>
        <v>3.0329670329670502E-2</v>
      </c>
      <c r="AL135" s="68">
        <f>IF($Z$3="yes", 0.000501190476190498/$X135, 0.000501190476190498)</f>
        <v>4.1765873015874838E-2</v>
      </c>
      <c r="AM135" s="68">
        <f>IF($Z$3="yes", 0.0024025/$X135, 0.0024025)</f>
        <v>0.20020833333333335</v>
      </c>
      <c r="AN135" s="68">
        <f>IF($Z$3="yes", 0.0019475/$X135, 0.0019475)</f>
        <v>0.16229166666666667</v>
      </c>
      <c r="AO135" s="68">
        <f>IF($Z$3="yes", 0.0034535/$X135, 0.0034535)</f>
        <v>0.28779166666666667</v>
      </c>
      <c r="AP135" s="68">
        <f>IF($Z$3="yes", 0.000620499999999996/$X135, 0.000620499999999996)</f>
        <v>5.1708333333332995E-2</v>
      </c>
      <c r="AQ135" s="68">
        <f>IF($Z$3="yes", 0.00126692857142856/$X135, 0.00126692857142856)</f>
        <v>0.10557738095237999</v>
      </c>
      <c r="AR135" s="68">
        <f>IF($Z$3="yes", 0.00228299999999998/$X135, 0.00228299999999998)</f>
        <v>0.19024999999999831</v>
      </c>
      <c r="AS135" s="68">
        <f>IF($Z$3="yes", 0.000455/$X135, 0.000455)</f>
        <v>3.7916666666666668E-2</v>
      </c>
      <c r="AT135" s="68">
        <f>IF($Z$3="yes", 0.00105099999999999/$X135, 0.00105099999999999)</f>
        <v>8.75833333333325E-2</v>
      </c>
      <c r="AU135" s="88">
        <f>IF($Z$3="yes", 0.001782/$X135, 0.001782)</f>
        <v>0.14849999999999999</v>
      </c>
      <c r="AV135" s="88">
        <f>IF($Z$3="yes", 0.00113557142857143/$X135, 0.00113557142857143)</f>
        <v>9.4630952380952496E-2</v>
      </c>
      <c r="AW135" s="88">
        <f>IF($Z$3="yes", 0.000119500000000015/$X135, 0.000119500000000015)</f>
        <v>9.9583333333345819E-3</v>
      </c>
      <c r="AX135" s="88">
        <f>IF($Z$3="yes", 0.00150599999999999/$X135, 0.00150599999999999)</f>
        <v>0.12549999999999917</v>
      </c>
      <c r="AY135" s="88">
        <f>IF($Z$3="yes", 0.002833/$X135, 0.002833)</f>
        <v>0.23608333333333334</v>
      </c>
      <c r="AZ135" s="88">
        <f>IF($Z$3="yes", 0.00218657142857143/$X135, 0.00218657142857143)</f>
        <v>0.18221428571428583</v>
      </c>
      <c r="BA135" s="88">
        <f>IF($Z$3="yes", 0.00117050000000001/$X135, 0.00117050000000001)</f>
        <v>9.7541666666667498E-2</v>
      </c>
      <c r="BB135" s="88">
        <f>IF($Z$3="yes", 0.001327/$X135, 0.001327)</f>
        <v>0.11058333333333334</v>
      </c>
      <c r="BC135" s="88">
        <f>IF($Z$3="yes", 0.000680571428571436/$X135, 0.000680571428571436)</f>
        <v>5.6714285714286328E-2</v>
      </c>
      <c r="BD135" s="88">
        <f>IF($Z$3="yes", 0.000335499999999985/$X135, 0.000335499999999985)</f>
        <v>2.7958333333332083E-2</v>
      </c>
      <c r="BE135" s="88">
        <f>IF($Z$3="yes", 0.00064642857142857/$X135, 0.00064642857142857)</f>
        <v>5.3869047619047504E-2</v>
      </c>
      <c r="BF135" s="88">
        <f>IF($Z$3="yes", 0.00166249999999999/$X135, 0.00166249999999999)</f>
        <v>0.13854166666666581</v>
      </c>
      <c r="BG135" s="88">
        <f>IF($Z$3="yes", 0.00101607142857142/$X135, 0.00101607142857142)</f>
        <v>8.467261904761833E-2</v>
      </c>
      <c r="BH135" s="88">
        <f>IF($Z$3="yes", 0.00208047959183673/$X135, 0.00208047959183673)</f>
        <v>0.17337329931972748</v>
      </c>
      <c r="BI135" s="68"/>
      <c r="BJ135" s="68"/>
      <c r="BK135" s="68">
        <f>IF($BL$3="yes", MAX(0, (5566710 - 3932377.8) / 2920788.52779583), 3932377.8)</f>
        <v>3932377.8</v>
      </c>
      <c r="BL135" s="68">
        <f>IF($BL$3="yes", MAX(0, (5566710 - 2362815) / 2636493.71180752), 2362815)</f>
        <v>2362815</v>
      </c>
      <c r="BM135" s="68">
        <f>IF($BL$3="yes", MAX(0, (5566710 - 1771222.35) / 2027801.79104532), 1771222.35)</f>
        <v>1771222.35</v>
      </c>
      <c r="BN135" s="68">
        <f>IF($BL$3="yes", MAX(0, (5566710 - 1708981.86) / 2719082.41361328), 1708981.86)</f>
        <v>1708981.86</v>
      </c>
      <c r="BO135" s="68">
        <f>IF($BL$3="yes", MAX(0, (5566710 - 3683764.31) / 10350323.9506958), 3683764.31)</f>
        <v>3683764.31</v>
      </c>
      <c r="BP135" s="68">
        <f>IF($BL$3="yes", MAX(0, (5566710 - 3048717.63) / 7810948.55675723), 3048717.63)</f>
        <v>3048717.63</v>
      </c>
      <c r="BQ135" s="68">
        <v>71.169668825259748</v>
      </c>
      <c r="BR135" s="68"/>
      <c r="BS135" s="68"/>
      <c r="BT135" s="68">
        <v>20105872.42694924</v>
      </c>
      <c r="BU135" s="68">
        <v>4408797.0522890054</v>
      </c>
      <c r="BV135" s="68">
        <f>IF($Z$3="yes", 0.00179120643863606/$X135, 0.00179120643863606)</f>
        <v>0.14926720321967166</v>
      </c>
      <c r="BW135" s="68">
        <f>IF($Z$3="yes", 0.00318689419477066/$X135, 0.00318689419477066)</f>
        <v>0.26557451623088835</v>
      </c>
      <c r="BX135" s="68">
        <f>$BW$135 - $BV$135</f>
        <v>0.11630731301121669</v>
      </c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81"/>
      <c r="CR135" s="81"/>
      <c r="CS135" s="68"/>
      <c r="CT135" s="68"/>
      <c r="CU135" s="68"/>
    </row>
    <row r="136" spans="1:99" ht="15.75" customHeight="1" thickBot="1" x14ac:dyDescent="0.3">
      <c r="A136" s="84"/>
      <c r="B136" s="67" t="s">
        <v>181</v>
      </c>
      <c r="C136" s="83" t="s">
        <v>458</v>
      </c>
      <c r="D136" s="67" t="s">
        <v>377</v>
      </c>
      <c r="E136" s="67">
        <v>1</v>
      </c>
      <c r="F136" s="85">
        <v>8.9999999999999998E-4</v>
      </c>
      <c r="G136" s="313">
        <v>44328</v>
      </c>
      <c r="H136" s="317">
        <v>8.0000000000000004E-4</v>
      </c>
      <c r="I136" s="317">
        <v>1.2999999999999999E-3</v>
      </c>
      <c r="J136" s="313">
        <v>44329</v>
      </c>
      <c r="K136" s="125">
        <f t="shared" si="6"/>
        <v>-0.11111111111111105</v>
      </c>
      <c r="L136" s="182">
        <f t="shared" si="7"/>
        <v>0.44444444444444442</v>
      </c>
      <c r="M136" s="312">
        <v>44407</v>
      </c>
      <c r="N136" s="68"/>
      <c r="O136" s="68">
        <v>6146636426</v>
      </c>
      <c r="P136" s="68"/>
      <c r="Q136" s="68">
        <v>1</v>
      </c>
      <c r="R136" s="68"/>
      <c r="S136" s="68" t="s">
        <v>148</v>
      </c>
      <c r="T136" s="68"/>
      <c r="U136" s="68">
        <v>88</v>
      </c>
      <c r="V136" s="68">
        <v>717440574</v>
      </c>
      <c r="W136" s="68"/>
      <c r="X136" s="68">
        <v>6.9999999999999999E-4</v>
      </c>
      <c r="Y136" s="68" t="e">
        <v>#N/A</v>
      </c>
      <c r="Z136" s="68">
        <v>5.7099999999999978E-4</v>
      </c>
      <c r="AA136" s="68">
        <v>6.0400000000000102E-4</v>
      </c>
      <c r="AB136" s="68">
        <v>6.7200000000000083E-4</v>
      </c>
      <c r="AC136" s="68">
        <v>5.9999999999999984E-4</v>
      </c>
      <c r="AD136" s="68">
        <v>6.0714285714285699E-4</v>
      </c>
      <c r="AE136" s="68">
        <v>6.4999999999999986E-4</v>
      </c>
      <c r="AF136" s="68" t="e">
        <f>IF($Z$3="yes", #N/A/$X136, #N/A)</f>
        <v>#N/A</v>
      </c>
      <c r="AG136" s="68">
        <f>IF($Z$3="yes", 4.22862286228619E-06/$X136, 4.22862286228619E-06)</f>
        <v>6.0408898032659857E-3</v>
      </c>
      <c r="AH136" s="68">
        <f>IF($Z$3="yes", 5.95438175270003E-07/$X136, 5.95438175270003E-07)</f>
        <v>8.5062596467143294E-4</v>
      </c>
      <c r="AI136" s="68">
        <f>IF($Z$3="yes", -7.45258103241303E-06/$X136, -7.45258103241303E-06)</f>
        <v>-1.0646544332018613E-2</v>
      </c>
      <c r="AJ136" s="68">
        <f>IF($Z$3="yes", 4.96240601503784E-06/$X136, 4.96240601503784E-06)</f>
        <v>7.0891514500540575E-3</v>
      </c>
      <c r="AK136" s="68">
        <f>IF($Z$3="yes", 0.0000103296703296704/$X136, 0.0000103296703296704)</f>
        <v>1.4756671899529143E-2</v>
      </c>
      <c r="AL136" s="68">
        <f>IF($Z$3="yes", -2.38095238095244E-06/$X136, -2.38095238095244E-06)</f>
        <v>-3.4013605442177715E-3</v>
      </c>
      <c r="AM136" s="68"/>
      <c r="AN136" s="68"/>
      <c r="AO136" s="68"/>
      <c r="AP136" s="68"/>
      <c r="AQ136" s="68"/>
      <c r="AR136" s="68"/>
      <c r="AS136" s="68">
        <f>IF($Z$3="yes", 0.0000330000000000012/$X136, 0.0000330000000000012)</f>
        <v>4.714285714285886E-2</v>
      </c>
      <c r="AT136" s="68">
        <f>IF($Z$3="yes", 0.000101000000000001/$X136, 0.000101000000000001)</f>
        <v>0.14428571428571571</v>
      </c>
      <c r="AU136" s="88">
        <f>IF($Z$3="yes", 0.000029/$X136, 0.000029)</f>
        <v>4.1428571428571433E-2</v>
      </c>
      <c r="AV136" s="88">
        <f>IF($Z$3="yes", 0.0000361428571428572/$X136, 0.0000361428571428572)</f>
        <v>5.1632653061224575E-2</v>
      </c>
      <c r="AW136" s="88">
        <f>IF($Z$3="yes", 0.000079/$X136, 0.000079)</f>
        <v>0.11285714285714285</v>
      </c>
      <c r="AX136" s="88">
        <f>IF($Z$3="yes", 0.0000679999999999998/$X136, 0.0000679999999999998)</f>
        <v>9.714285714285685E-2</v>
      </c>
      <c r="AY136" s="88">
        <f>IF($Z$3="yes", 0.0000720000000000009/$X136, 0.0000720000000000009)</f>
        <v>0.10285714285714413</v>
      </c>
      <c r="AZ136" s="88">
        <f>IF($Z$3="yes", 0.0000648571428571438/$X136, 0.0000648571428571438)</f>
        <v>9.2653061224491157E-2</v>
      </c>
      <c r="BA136" s="88">
        <f>IF($Z$3="yes", 0.0000220000000000009/$X136, 0.0000220000000000009)</f>
        <v>3.1428571428572714E-2</v>
      </c>
      <c r="BB136" s="88">
        <f>IF($Z$3="yes", 4.00000000000118E-06/$X136, 4.00000000000118E-06)</f>
        <v>5.7142857142873996E-3</v>
      </c>
      <c r="BC136" s="88">
        <f>IF($Z$3="yes", 3.14285714285596E-06/$X136, 3.14285714285596E-06)</f>
        <v>4.4897959183656574E-3</v>
      </c>
      <c r="BD136" s="88">
        <f>IF($Z$3="yes", 0.0000459999999999988/$X136, 0.0000459999999999988)</f>
        <v>6.5714285714284004E-2</v>
      </c>
      <c r="BE136" s="88">
        <f>IF($Z$3="yes", 7.14285714285714E-06/$X136, 7.14285714285714E-06)</f>
        <v>1.0204081632653057E-2</v>
      </c>
      <c r="BF136" s="88">
        <f>IF($Z$3="yes", 0.00005/$X136, 0.00005)</f>
        <v>7.1428571428571438E-2</v>
      </c>
      <c r="BG136" s="88">
        <f>IF($Z$3="yes", 0.0000428571428571428/$X136, 0.0000428571428571428)</f>
        <v>6.122448979591829E-2</v>
      </c>
      <c r="BH136" s="88">
        <f>IF($Z$3="yes", 0.0000912040816326532/$X136, 0.0000912040816326532)</f>
        <v>0.13029154518950456</v>
      </c>
      <c r="BI136" s="68"/>
      <c r="BJ136" s="68"/>
      <c r="BK136" s="68">
        <f>IF($BL$3="yes", MAX(0, (717440574 - 252264655.6) / 278346811.240554), 252264655.6)</f>
        <v>252264655.59999999</v>
      </c>
      <c r="BL136" s="68">
        <f>IF($BL$3="yes", MAX(0, (717440574 - 163653724.1) / 218883892.071792), 163653724.1)</f>
        <v>163653724.09999999</v>
      </c>
      <c r="BM136" s="68">
        <f>IF($BL$3="yes", MAX(0, (717440574 - 116083691.75) / 165843314.338412), 116083691.75)</f>
        <v>116083691.75</v>
      </c>
      <c r="BN136" s="68">
        <f>IF($BL$3="yes", MAX(0, (717440574 - 123404241.2) / 178483643.3406), 123404241.2)</f>
        <v>123404241.2</v>
      </c>
      <c r="BO136" s="68">
        <f>IF($BL$3="yes", MAX(0, (717440574 - 150667425.75) / 198046782.177118), 150667425.75)</f>
        <v>150667425.75</v>
      </c>
      <c r="BP136" s="68">
        <f>IF($BL$3="yes", MAX(0, (717440574 - 91053232.125) / 169208145.139209), 91053232.125)</f>
        <v>91053232.125</v>
      </c>
      <c r="BQ136" s="68">
        <v>54.050491559471922</v>
      </c>
      <c r="BR136" s="68"/>
      <c r="BS136" s="68"/>
      <c r="BT136" s="68">
        <v>379406408.26666641</v>
      </c>
      <c r="BU136" s="68">
        <v>9377250.1845556498</v>
      </c>
      <c r="BV136" s="68">
        <f>IF($Z$3="yes", 0.000185793552152388/$X136, 0.000185793552152388)</f>
        <v>0.26541936021769713</v>
      </c>
      <c r="BW136" s="68">
        <f>IF($Z$3="yes", 0.000237425618236007/$X136, 0.000237425618236007)</f>
        <v>0.33917945462286714</v>
      </c>
      <c r="BX136" s="68">
        <f>$BW$136 - $BV$136</f>
        <v>7.3760094405170007E-2</v>
      </c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81"/>
      <c r="CR136" s="81"/>
      <c r="CS136" s="68"/>
      <c r="CT136" s="68"/>
      <c r="CU136" s="68"/>
    </row>
    <row r="137" spans="1:99" ht="15.75" customHeight="1" thickBot="1" x14ac:dyDescent="0.3">
      <c r="A137" s="84"/>
      <c r="B137" s="67" t="s">
        <v>128</v>
      </c>
      <c r="C137" s="83" t="s">
        <v>459</v>
      </c>
      <c r="D137" s="67" t="s">
        <v>460</v>
      </c>
      <c r="E137" s="67">
        <v>2</v>
      </c>
      <c r="F137" s="85">
        <v>0.54800000000000004</v>
      </c>
      <c r="G137" s="313">
        <v>44327</v>
      </c>
      <c r="H137" s="317">
        <v>0.46360000000000001</v>
      </c>
      <c r="I137" s="317">
        <v>0.68959999999999999</v>
      </c>
      <c r="J137" s="313">
        <v>44389</v>
      </c>
      <c r="K137" s="94">
        <f t="shared" si="6"/>
        <v>-0.15401459854014599</v>
      </c>
      <c r="L137" s="183">
        <f t="shared" si="7"/>
        <v>0.25839416058394149</v>
      </c>
      <c r="M137" s="312">
        <v>44407</v>
      </c>
      <c r="N137" s="68"/>
      <c r="O137" s="291">
        <v>113500455</v>
      </c>
      <c r="P137" s="291">
        <v>70160000</v>
      </c>
      <c r="Q137" s="291">
        <v>62</v>
      </c>
      <c r="R137" s="68" t="s">
        <v>131</v>
      </c>
      <c r="S137" s="68" t="s">
        <v>157</v>
      </c>
      <c r="T137" s="67" t="s">
        <v>197</v>
      </c>
      <c r="U137" s="68">
        <v>732</v>
      </c>
      <c r="V137" s="68">
        <v>8227647</v>
      </c>
      <c r="W137" s="68"/>
      <c r="X137" s="68">
        <v>0.55479999999999996</v>
      </c>
      <c r="Y137" s="68">
        <v>1.124929499999999</v>
      </c>
      <c r="Z137" s="68">
        <v>1.227223999999999</v>
      </c>
      <c r="AA137" s="68">
        <v>1.1462479999999999</v>
      </c>
      <c r="AB137" s="68">
        <v>1.378614</v>
      </c>
      <c r="AC137" s="68">
        <v>0.61086999999999847</v>
      </c>
      <c r="AD137" s="68">
        <v>0.60369285714285792</v>
      </c>
      <c r="AE137" s="68">
        <v>0.58522499999999988</v>
      </c>
      <c r="AF137" s="68">
        <f>IF($Z$3="yes", 0.000986631290782303/$X137, 0.000986631290782303)</f>
        <v>1.7783548860531777E-3</v>
      </c>
      <c r="AG137" s="68">
        <f>IF($Z$3="yes", -0.00388758715871576/$X137, -0.00388758715871576)</f>
        <v>-7.0071866595453501E-3</v>
      </c>
      <c r="AH137" s="68">
        <f>IF($Z$3="yes", -0.0298018919567827/$X137, -0.0298018919567827)</f>
        <v>-5.3716459907683312E-2</v>
      </c>
      <c r="AI137" s="68">
        <f>IF($Z$3="yes", -0.0255622521008403/$X137, -0.0255622521008403)</f>
        <v>-4.607471539444899E-2</v>
      </c>
      <c r="AJ137" s="68">
        <f>IF($Z$3="yes", -0.0048506766917283/$X137, -0.0048506766917283)</f>
        <v>-8.7431086729060914E-3</v>
      </c>
      <c r="AK137" s="68">
        <f>IF($Z$3="yes", -0.00714879120879314/$X137, -0.00714879120879314)</f>
        <v>-1.28853482494469E-2</v>
      </c>
      <c r="AL137" s="68">
        <f>IF($Z$3="yes", -0.0183214285714294/$X137, -0.0183214285714294)</f>
        <v>-3.3023483365950616E-2</v>
      </c>
      <c r="AM137" s="68">
        <f>IF($Z$3="yes", 0.102294499999999/$X137, 0.102294499999999)</f>
        <v>0.18438085796683309</v>
      </c>
      <c r="AN137" s="68">
        <f>IF($Z$3="yes", 0.0213185000000009/$X137, 0.0213185000000009)</f>
        <v>3.8425558759915109E-2</v>
      </c>
      <c r="AO137" s="68">
        <f>IF($Z$3="yes", 0.2536845/$X137, 0.2536845)</f>
        <v>0.45725396539293439</v>
      </c>
      <c r="AP137" s="68">
        <f>IF($Z$3="yes", 0.514059500000001/$X137, 0.514059500000001)</f>
        <v>0.92656723143475317</v>
      </c>
      <c r="AQ137" s="68">
        <f>IF($Z$3="yes", 0.521236642857141/$X137, 0.521236642857141)</f>
        <v>0.93950368215057867</v>
      </c>
      <c r="AR137" s="68">
        <f>IF($Z$3="yes", 0.539704499999999/$X137, 0.539704499999999)</f>
        <v>0.97279109589040924</v>
      </c>
      <c r="AS137" s="68">
        <f>IF($Z$3="yes", 0.0809759999999988/$X137, 0.0809759999999988)</f>
        <v>0.14595529920691927</v>
      </c>
      <c r="AT137" s="68">
        <f>IF($Z$3="yes", 0.15139/$X137, 0.15139)</f>
        <v>0.27287310742609949</v>
      </c>
      <c r="AU137" s="88">
        <f>IF($Z$3="yes", 0.616354/$X137, 0.616354)</f>
        <v>1.1109480894015862</v>
      </c>
      <c r="AV137" s="88">
        <f>IF($Z$3="yes", 0.623531142857141/$X137, 0.623531142857141)</f>
        <v>1.1238845401174136</v>
      </c>
      <c r="AW137" s="88">
        <f>IF($Z$3="yes", 0.641998999999999/$X137, 0.641998999999999)</f>
        <v>1.157171953857244</v>
      </c>
      <c r="AX137" s="88">
        <f>IF($Z$3="yes", 0.232365999999999/$X137, 0.232365999999999)</f>
        <v>0.41882840663301912</v>
      </c>
      <c r="AY137" s="88">
        <f>IF($Z$3="yes", 0.767744000000001/$X137, 0.767744000000001)</f>
        <v>1.3838211968276874</v>
      </c>
      <c r="AZ137" s="88">
        <f>IF($Z$3="yes", 0.774921142857141/$X137, 0.774921142857141)</f>
        <v>1.3967576475435131</v>
      </c>
      <c r="BA137" s="88">
        <f>IF($Z$3="yes", 0.793388999999999/$X137, 0.793388999999999)</f>
        <v>1.4300450612833437</v>
      </c>
      <c r="BB137" s="88">
        <f>IF($Z$3="yes", 0.535378000000001/$X137, 0.535378000000001)</f>
        <v>0.96499279019466666</v>
      </c>
      <c r="BC137" s="88">
        <f>IF($Z$3="yes", 0.542555142857142/$X137, 0.542555142857142)</f>
        <v>0.97792924091049394</v>
      </c>
      <c r="BD137" s="88">
        <f>IF($Z$3="yes", 0.561023/$X137, 0.561023)</f>
        <v>1.0112166546503245</v>
      </c>
      <c r="BE137" s="88">
        <f>IF($Z$3="yes", 0.00717714285714055/$X137, 0.00717714285714055)</f>
        <v>1.2936450715826515E-2</v>
      </c>
      <c r="BF137" s="88">
        <f>IF($Z$3="yes", 0.0256449999999985/$X137, 0.0256449999999985)</f>
        <v>4.6223864455656995E-2</v>
      </c>
      <c r="BG137" s="88">
        <f>IF($Z$3="yes", 0.018467857142858/$X137, 0.018467857142858)</f>
        <v>3.3287413739830574E-2</v>
      </c>
      <c r="BH137" s="88">
        <f>IF($Z$3="yes", 0.447167591836734/$X137, 0.447167591836734)</f>
        <v>0.80599782234450978</v>
      </c>
      <c r="BI137" s="68"/>
      <c r="BJ137" s="68"/>
      <c r="BK137" s="68">
        <f>IF($BL$3="yes", MAX(0, (8227647 - 11503114) / 3074522.88917958), 11503114)</f>
        <v>11503114</v>
      </c>
      <c r="BL137" s="68">
        <f>IF($BL$3="yes", MAX(0, (8227647 - 13650347.6) / 3860828.64477907), 13650347.6)</f>
        <v>13650347.6</v>
      </c>
      <c r="BM137" s="68">
        <f>IF($BL$3="yes", MAX(0, (8227647 - 14807422.5) / 8110382.07876367), 14807422.5)</f>
        <v>14807422.5</v>
      </c>
      <c r="BN137" s="68">
        <f>IF($BL$3="yes", MAX(0, (8227647 - 6167174.88) / 8732422.99206361), 6167174.88)</f>
        <v>6167174.8799999999</v>
      </c>
      <c r="BO137" s="68">
        <f>IF($BL$3="yes", MAX(0, (8227647 - 3559409.9) / 6821450.69759708), 3559409.9)</f>
        <v>3559409.9</v>
      </c>
      <c r="BP137" s="68">
        <f>IF($BL$3="yes", MAX(0, (8227647 - 2096968.25) / 5107165.832072), 2096968.25)</f>
        <v>2096968.25</v>
      </c>
      <c r="BQ137" s="68">
        <v>20.352682845320849</v>
      </c>
      <c r="BR137" s="68"/>
      <c r="BS137" s="68"/>
      <c r="BT137" s="68">
        <v>28348352.606547799</v>
      </c>
      <c r="BU137" s="68">
        <v>-2084329.3510707391</v>
      </c>
      <c r="BV137" s="68">
        <f>IF($Z$3="yes", 0.0830411104210992/$X137, 0.0830411104210992)</f>
        <v>0.14967756023990483</v>
      </c>
      <c r="BW137" s="68">
        <f>IF($Z$3="yes", 0.156371067952942/$X137, 0.156371067952942)</f>
        <v>0.28185124000169792</v>
      </c>
      <c r="BX137" s="68">
        <f>$BW$137 - $BV$137</f>
        <v>0.13217367976179309</v>
      </c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81"/>
      <c r="CR137" s="81"/>
      <c r="CS137" s="68"/>
      <c r="CT137" s="68"/>
      <c r="CU137" s="68"/>
    </row>
    <row r="138" spans="1:99" ht="15.75" customHeight="1" thickBot="1" x14ac:dyDescent="0.3">
      <c r="A138" s="84"/>
      <c r="B138" s="67" t="s">
        <v>181</v>
      </c>
      <c r="C138" s="83" t="s">
        <v>461</v>
      </c>
      <c r="D138" s="67" t="s">
        <v>364</v>
      </c>
      <c r="E138" s="67">
        <v>1</v>
      </c>
      <c r="F138" s="85">
        <v>6.7000000000000002E-3</v>
      </c>
      <c r="G138" s="313">
        <v>44326</v>
      </c>
      <c r="H138" s="317">
        <v>5.9999999999999995E-4</v>
      </c>
      <c r="I138" s="317">
        <v>9.4000000000000004E-3</v>
      </c>
      <c r="J138" s="313">
        <v>44327</v>
      </c>
      <c r="K138" s="125">
        <f t="shared" si="6"/>
        <v>-0.91044776119402981</v>
      </c>
      <c r="L138" s="96">
        <f t="shared" si="7"/>
        <v>0.40298507462686572</v>
      </c>
      <c r="M138" s="312">
        <v>44407</v>
      </c>
      <c r="N138" s="68"/>
      <c r="O138" s="68">
        <v>5752596220</v>
      </c>
      <c r="P138" s="68"/>
      <c r="Q138" s="68">
        <v>1</v>
      </c>
      <c r="R138" s="68"/>
      <c r="S138" s="68" t="s">
        <v>157</v>
      </c>
      <c r="T138" s="68"/>
      <c r="U138" s="68">
        <v>2004</v>
      </c>
      <c r="V138" s="68">
        <v>665464729</v>
      </c>
      <c r="W138" s="68"/>
      <c r="X138" s="68">
        <v>6.4000000000000003E-3</v>
      </c>
      <c r="Y138" s="68">
        <v>1.034E-3</v>
      </c>
      <c r="Z138" s="68">
        <v>1.736999999999999E-3</v>
      </c>
      <c r="AA138" s="68">
        <v>2.4319999999999988E-3</v>
      </c>
      <c r="AB138" s="68">
        <v>1.3179999999999999E-3</v>
      </c>
      <c r="AC138" s="68">
        <v>4.6699999999999997E-3</v>
      </c>
      <c r="AD138" s="68">
        <v>6.2142857142857147E-3</v>
      </c>
      <c r="AE138" s="68">
        <v>7.1249999999999994E-3</v>
      </c>
      <c r="AF138" s="68">
        <f>IF($Z$3="yes", 0.0000166727668191704/$X138, 0.0000166727668191704)</f>
        <v>2.6051198154953747E-3</v>
      </c>
      <c r="AG138" s="68">
        <f>IF($Z$3="yes", 0.0000426240624062406/$X138, 0.0000426240624062406)</f>
        <v>6.6600097509750935E-3</v>
      </c>
      <c r="AH138" s="68">
        <f>IF($Z$3="yes", 0.00013713325330132/$X138, 0.00013713325330132)</f>
        <v>2.142707082833125E-2</v>
      </c>
      <c r="AI138" s="68">
        <f>IF($Z$3="yes", 0.0000202785114045619/$X138, 0.0000202785114045619)</f>
        <v>3.1685174069627968E-3</v>
      </c>
      <c r="AJ138" s="68">
        <f>IF($Z$3="yes", 0.000436992481203008/$X138, 0.000436992481203008)</f>
        <v>6.8280075187969996E-2</v>
      </c>
      <c r="AK138" s="68">
        <f>IF($Z$3="yes", 0.000323956043956041/$X138, 0.000323956043956041)</f>
        <v>5.0618131868131404E-2</v>
      </c>
      <c r="AL138" s="68">
        <f>IF($Z$3="yes", -0.0000261904761904759/$X138, -0.0000261904761904759)</f>
        <v>-4.092261904761859E-3</v>
      </c>
      <c r="AM138" s="68">
        <f>IF($Z$3="yes", 0.000702999999999999/$X138, 0.000702999999999999)</f>
        <v>0.10984374999999984</v>
      </c>
      <c r="AN138" s="68">
        <f>IF($Z$3="yes", 0.00139799999999999/$X138, 0.00139799999999999)</f>
        <v>0.21843749999999842</v>
      </c>
      <c r="AO138" s="68">
        <f>IF($Z$3="yes", 0.000283999999999999/$X138, 0.000283999999999999)</f>
        <v>4.4374999999999838E-2</v>
      </c>
      <c r="AP138" s="68">
        <f>IF($Z$3="yes", 0.00363599999999999/$X138, 0.00363599999999999)</f>
        <v>0.56812499999999844</v>
      </c>
      <c r="AQ138" s="68">
        <f>IF($Z$3="yes", 0.00518028571428571/$X138, 0.00518028571428571)</f>
        <v>0.80941964285714219</v>
      </c>
      <c r="AR138" s="68">
        <f>IF($Z$3="yes", 0.00609099999999999/$X138, 0.00609099999999999)</f>
        <v>0.95171874999999839</v>
      </c>
      <c r="AS138" s="68">
        <f>IF($Z$3="yes", 0.000694999999999999/$X138, 0.000694999999999999)</f>
        <v>0.10859374999999984</v>
      </c>
      <c r="AT138" s="68">
        <f>IF($Z$3="yes", 0.000418999999999999/$X138, 0.000418999999999999)</f>
        <v>6.546874999999984E-2</v>
      </c>
      <c r="AU138" s="88">
        <f>IF($Z$3="yes", 0.002933/$X138, 0.002933)</f>
        <v>0.45828124999999997</v>
      </c>
      <c r="AV138" s="88">
        <f>IF($Z$3="yes", 0.00447728571428571/$X138, 0.00447728571428571)</f>
        <v>0.69957589285714206</v>
      </c>
      <c r="AW138" s="88">
        <f>IF($Z$3="yes", 0.005388/$X138, 0.005388)</f>
        <v>0.84187500000000004</v>
      </c>
      <c r="AX138" s="88">
        <f>IF($Z$3="yes", 0.00111399999999999/$X138, 0.00111399999999999)</f>
        <v>0.17406249999999843</v>
      </c>
      <c r="AY138" s="88">
        <f>IF($Z$3="yes", 0.003352/$X138, 0.003352)</f>
        <v>0.52374999999999994</v>
      </c>
      <c r="AZ138" s="88">
        <f>IF($Z$3="yes", 0.00489628571428571/$X138, 0.00489628571428571)</f>
        <v>0.76504464285714213</v>
      </c>
      <c r="BA138" s="88">
        <f>IF($Z$3="yes", 0.005807/$X138, 0.005807)</f>
        <v>0.90734374999999989</v>
      </c>
      <c r="BB138" s="88">
        <f>IF($Z$3="yes", 0.002238/$X138, 0.002238)</f>
        <v>0.34968749999999998</v>
      </c>
      <c r="BC138" s="88">
        <f>IF($Z$3="yes", 0.00378228571428571/$X138, 0.00378228571428571)</f>
        <v>0.59098214285714212</v>
      </c>
      <c r="BD138" s="88">
        <f>IF($Z$3="yes", 0.004693/$X138, 0.004693)</f>
        <v>0.73328125</v>
      </c>
      <c r="BE138" s="88">
        <f>IF($Z$3="yes", 0.00154428571428571/$X138, 0.00154428571428571)</f>
        <v>0.24129464285714219</v>
      </c>
      <c r="BF138" s="88">
        <f>IF($Z$3="yes", 0.00245499999999999/$X138, 0.00245499999999999)</f>
        <v>0.38359374999999846</v>
      </c>
      <c r="BG138" s="88">
        <f>IF($Z$3="yes", 0.000910714285714284/$X138, 0.000910714285714284)</f>
        <v>0.14229910714285687</v>
      </c>
      <c r="BH138" s="88">
        <f>IF($Z$3="yes", 0.00348740136054421/$X138, 0.00348740136054421)</f>
        <v>0.54490646258503284</v>
      </c>
      <c r="BI138" s="68"/>
      <c r="BJ138" s="68"/>
      <c r="BK138" s="68">
        <f>IF($BL$3="yes", MAX(0, (665464729 - 1358747340.2) / 570222713.714708), 1358747340.2)</f>
        <v>1358747340.2</v>
      </c>
      <c r="BL138" s="68">
        <f>IF($BL$3="yes", MAX(0, (665464729 - 1094089316.7) / 569008391.342918), 1094089316.7)</f>
        <v>1094089316.7</v>
      </c>
      <c r="BM138" s="68">
        <f>IF($BL$3="yes", MAX(0, (665464729 - 802421941) / 794274243.33309), 802421941)</f>
        <v>802421941</v>
      </c>
      <c r="BN138" s="68">
        <f>IF($BL$3="yes", MAX(0, (665464729 - 356070864.54) / 621051085.788459), 356070864.54)</f>
        <v>356070864.54000002</v>
      </c>
      <c r="BO138" s="68">
        <f>IF($BL$3="yes", MAX(0, (665464729 - 207926788.27) / 465518380.933954), 207926788.27)</f>
        <v>207926788.27000001</v>
      </c>
      <c r="BP138" s="68">
        <f>IF($BL$3="yes", MAX(0, (665464729 - 124897569.615) / 347016925.637474), 124897569.615)</f>
        <v>124897569.61499999</v>
      </c>
      <c r="BQ138" s="68">
        <v>56.074223954262557</v>
      </c>
      <c r="BR138" s="68"/>
      <c r="BS138" s="68"/>
      <c r="BT138" s="68">
        <v>-434741961.72702008</v>
      </c>
      <c r="BU138" s="68">
        <v>-651564394.23399949</v>
      </c>
      <c r="BV138" s="68">
        <f>IF($Z$3="yes", 0.00241450089647114/$X138, 0.00241450089647114)</f>
        <v>0.37726576507361559</v>
      </c>
      <c r="BW138" s="68">
        <f>IF($Z$3="yes", 0.000718552098767384/$X138, 0.000718552098767384)</f>
        <v>0.11227376543240375</v>
      </c>
      <c r="BX138" s="68">
        <f>$BW$138 - $BV$138</f>
        <v>-0.26499199964121184</v>
      </c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81"/>
      <c r="CR138" s="81"/>
      <c r="CS138" s="68"/>
      <c r="CT138" s="68"/>
      <c r="CU138" s="68"/>
    </row>
    <row r="139" spans="1:99" ht="15.75" customHeight="1" thickBot="1" x14ac:dyDescent="0.3">
      <c r="A139" s="84"/>
      <c r="B139" s="67" t="s">
        <v>128</v>
      </c>
      <c r="C139" s="83" t="s">
        <v>462</v>
      </c>
      <c r="D139" s="67" t="s">
        <v>463</v>
      </c>
      <c r="E139" s="67">
        <v>1</v>
      </c>
      <c r="F139" s="85">
        <v>2.06</v>
      </c>
      <c r="G139" s="313">
        <v>44323</v>
      </c>
      <c r="H139" s="317">
        <v>1.74</v>
      </c>
      <c r="I139" s="317">
        <v>2.68</v>
      </c>
      <c r="J139" s="313">
        <v>44392</v>
      </c>
      <c r="K139" s="125">
        <f t="shared" si="6"/>
        <v>-0.15533980582524276</v>
      </c>
      <c r="L139" s="105">
        <f t="shared" si="7"/>
        <v>0.30097087378640786</v>
      </c>
      <c r="M139" s="312">
        <v>44407</v>
      </c>
      <c r="N139" s="68"/>
      <c r="O139" s="291">
        <v>11155569</v>
      </c>
      <c r="P139" s="291">
        <v>13460000</v>
      </c>
      <c r="Q139" s="291">
        <v>69</v>
      </c>
      <c r="R139" s="68" t="s">
        <v>139</v>
      </c>
      <c r="S139" s="68" t="s">
        <v>148</v>
      </c>
      <c r="T139" s="67" t="s">
        <v>160</v>
      </c>
      <c r="U139" s="68">
        <v>316</v>
      </c>
      <c r="V139" s="68">
        <v>1005685</v>
      </c>
      <c r="W139" s="68"/>
      <c r="X139" s="68">
        <v>2.09</v>
      </c>
      <c r="Y139" s="68">
        <v>2.000454</v>
      </c>
      <c r="Z139" s="68">
        <v>2.3656510000000011</v>
      </c>
      <c r="AA139" s="68">
        <v>2.8763000000000019</v>
      </c>
      <c r="AB139" s="68">
        <v>2.7979000000000021</v>
      </c>
      <c r="AC139" s="68">
        <v>2.593500000000001</v>
      </c>
      <c r="AD139" s="68">
        <v>2.519285714285715</v>
      </c>
      <c r="AE139" s="68">
        <v>2.3012500000000031</v>
      </c>
      <c r="AF139" s="68">
        <f>IF($Z$3="yes", 0.0075811268281708/$X139, 0.0075811268281708)</f>
        <v>3.6273334106080384E-3</v>
      </c>
      <c r="AG139" s="68">
        <f>IF($Z$3="yes", 0.0176502700270024/$X139, 0.0176502700270024)</f>
        <v>8.4451052760777037E-3</v>
      </c>
      <c r="AH139" s="68">
        <f>IF($Z$3="yes", 0.00449963985594198/$X139, 0.00449963985594198)</f>
        <v>2.1529377301157801E-3</v>
      </c>
      <c r="AI139" s="68">
        <f>IF($Z$3="yes", 0.0342004801920766/$X139, 0.0342004801920766)</f>
        <v>1.6363866120610814E-2</v>
      </c>
      <c r="AJ139" s="68">
        <f>IF($Z$3="yes", -0.0403533834586481/$X139, -0.0403533834586481)</f>
        <v>-1.9307838975429713E-2</v>
      </c>
      <c r="AK139" s="68">
        <f>IF($Z$3="yes", -0.0656923076923109/$X139, -0.0656923076923109)</f>
        <v>-3.1431726168569811E-2</v>
      </c>
      <c r="AL139" s="68">
        <f>IF($Z$3="yes", -0.0822619047619331/$X139, -0.0822619047619331)</f>
        <v>-3.9359763043987132E-2</v>
      </c>
      <c r="AM139" s="68">
        <f>IF($Z$3="yes", 0.365197000000001/$X139, 0.365197000000001)</f>
        <v>0.17473540669856508</v>
      </c>
      <c r="AN139" s="68">
        <f>IF($Z$3="yes", 0.875846000000002/$X139, 0.875846000000002)</f>
        <v>0.41906507177033592</v>
      </c>
      <c r="AO139" s="68">
        <f>IF($Z$3="yes", 0.797446000000001/$X139, 0.797446000000001)</f>
        <v>0.38155311004784737</v>
      </c>
      <c r="AP139" s="68">
        <f>IF($Z$3="yes", 0.593046/$X139, 0.593046)</f>
        <v>0.28375406698564593</v>
      </c>
      <c r="AQ139" s="68">
        <f>IF($Z$3="yes", 0.518831714285715/$X139, 0.518831714285715)</f>
        <v>0.24824483937115549</v>
      </c>
      <c r="AR139" s="68">
        <f>IF($Z$3="yes", 0.300796000000002/$X139, 0.300796000000002)</f>
        <v>0.14392153110047945</v>
      </c>
      <c r="AS139" s="68">
        <f>IF($Z$3="yes", 0.510649000000001/$X139, 0.510649000000001)</f>
        <v>0.24432966507177084</v>
      </c>
      <c r="AT139" s="68">
        <f>IF($Z$3="yes", 0.432249/$X139, 0.432249)</f>
        <v>0.20681770334928232</v>
      </c>
      <c r="AU139" s="88">
        <f>IF($Z$3="yes", 0.227848999999999/$X139, 0.227848999999999)</f>
        <v>0.10901866028708086</v>
      </c>
      <c r="AV139" s="88">
        <f>IF($Z$3="yes", 0.153634714285713/$X139, 0.153634714285713)</f>
        <v>7.3509432672589956E-2</v>
      </c>
      <c r="AW139" s="88">
        <f>IF($Z$3="yes", 0.0644009999999983/$X139, 0.0644009999999983)</f>
        <v>3.0813875598085315E-2</v>
      </c>
      <c r="AX139" s="88">
        <f>IF($Z$3="yes", 0.0784000000000006/$X139, 0.0784000000000006)</f>
        <v>3.7511961722488323E-2</v>
      </c>
      <c r="AY139" s="88">
        <f>IF($Z$3="yes", 0.204400000000001/$X139, 0.204400000000001)</f>
        <v>9.7799043062201441E-2</v>
      </c>
      <c r="AZ139" s="88">
        <f>IF($Z$3="yes", 0.278614285714286/$X139, 0.278614285714286)</f>
        <v>0.13330827067669188</v>
      </c>
      <c r="BA139" s="88">
        <f>IF($Z$3="yes", 0.496649999999998/$X139, 0.496649999999998)</f>
        <v>0.23763157894736747</v>
      </c>
      <c r="BB139" s="88">
        <f>IF($Z$3="yes", 0.282800000000001/$X139, 0.282800000000001)</f>
        <v>0.13531100478468949</v>
      </c>
      <c r="BC139" s="88">
        <f>IF($Z$3="yes", 0.357014285714287/$X139, 0.357014285714287)</f>
        <v>0.1708202323991804</v>
      </c>
      <c r="BD139" s="88">
        <f>IF($Z$3="yes", 0.575049999999999/$X139, 0.575049999999999)</f>
        <v>0.27514354066985597</v>
      </c>
      <c r="BE139" s="88">
        <f>IF($Z$3="yes", 0.0742142857142855/$X139, 0.0742142857142855)</f>
        <v>3.5509227614490671E-2</v>
      </c>
      <c r="BF139" s="88">
        <f>IF($Z$3="yes", 0.292249999999997/$X139, 0.292249999999997)</f>
        <v>0.13983253588516603</v>
      </c>
      <c r="BG139" s="88">
        <f>IF($Z$3="yes", 0.218035714285712/$X139, 0.218035714285712)</f>
        <v>0.10432330827067561</v>
      </c>
      <c r="BH139" s="88">
        <f>IF($Z$3="yes", 0.536993653061224/$X139, 0.536993653061224)</f>
        <v>0.25693476223025075</v>
      </c>
      <c r="BI139" s="68"/>
      <c r="BJ139" s="68"/>
      <c r="BK139" s="68">
        <f>IF($BL$3="yes", MAX(0, (1005685 - 1560734.2) / 689343.516981018), 1560734.2)</f>
        <v>1560734.2</v>
      </c>
      <c r="BL139" s="68">
        <f>IF($BL$3="yes", MAX(0, (1005685 - 2235033.9) / 1054496.05719143), 2235033.9)</f>
        <v>2235033.9</v>
      </c>
      <c r="BM139" s="68">
        <f>IF($BL$3="yes", MAX(0, (1005685 - 4339527.5) / 6959354.17255557), 4339527.5)</f>
        <v>4339527.5</v>
      </c>
      <c r="BN139" s="68">
        <f>IF($BL$3="yes", MAX(0, (1005685 - 13311564.54) / 31057472.0789424), 13311564.54)</f>
        <v>13311564.539999999</v>
      </c>
      <c r="BO139" s="68">
        <f>IF($BL$3="yes", MAX(0, (1005685 - 6898020.15) / 22883519.8217641), 6898020.15)</f>
        <v>6898020.1500000004</v>
      </c>
      <c r="BP139" s="68">
        <f>IF($BL$3="yes", MAX(0, (1005685 - 3995497.71) / 17126991.2675713), 3995497.71)</f>
        <v>3995497.71</v>
      </c>
      <c r="BQ139" s="68">
        <v>24.827300501743249</v>
      </c>
      <c r="BR139" s="68"/>
      <c r="BS139" s="68"/>
      <c r="BT139" s="68">
        <v>-135636518.8759025</v>
      </c>
      <c r="BU139" s="68">
        <v>-899216.36491787061</v>
      </c>
      <c r="BV139" s="68">
        <f>IF($Z$3="yes", 0.382057591469734/$X139, 0.382057591469734)</f>
        <v>0.18280267534437034</v>
      </c>
      <c r="BW139" s="68">
        <f>IF($Z$3="yes", 0.544635164317959/$X139, 0.544635164317959)</f>
        <v>0.26059098771194211</v>
      </c>
      <c r="BX139" s="68">
        <f>$BW$139 - $BV$139</f>
        <v>7.7788312367571777E-2</v>
      </c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81"/>
      <c r="CR139" s="81"/>
      <c r="CS139" s="68"/>
      <c r="CT139" s="68"/>
      <c r="CU139" s="68"/>
    </row>
    <row r="140" spans="1:99" ht="15.75" customHeight="1" thickBot="1" x14ac:dyDescent="0.3">
      <c r="A140" s="84"/>
      <c r="B140" s="67" t="s">
        <v>128</v>
      </c>
      <c r="C140" s="83" t="s">
        <v>464</v>
      </c>
      <c r="D140" s="67" t="s">
        <v>465</v>
      </c>
      <c r="E140" s="67">
        <v>3</v>
      </c>
      <c r="F140" s="85">
        <v>1.51</v>
      </c>
      <c r="G140" s="313">
        <v>44323</v>
      </c>
      <c r="H140" s="317">
        <v>0.50990000000000002</v>
      </c>
      <c r="I140" s="85">
        <v>1.67</v>
      </c>
      <c r="J140" s="313">
        <v>44337</v>
      </c>
      <c r="K140" s="125">
        <f t="shared" si="6"/>
        <v>-0.662317880794702</v>
      </c>
      <c r="L140" s="173">
        <f t="shared" si="7"/>
        <v>0.10596026490066213</v>
      </c>
      <c r="M140" s="312">
        <v>44407</v>
      </c>
      <c r="N140" s="68"/>
      <c r="O140" s="291">
        <v>104325637</v>
      </c>
      <c r="P140" s="291">
        <v>42610000</v>
      </c>
      <c r="Q140" s="291">
        <v>14</v>
      </c>
      <c r="R140" s="68" t="s">
        <v>152</v>
      </c>
      <c r="S140" s="68" t="s">
        <v>132</v>
      </c>
      <c r="T140" s="67" t="s">
        <v>214</v>
      </c>
      <c r="U140" s="68">
        <v>388</v>
      </c>
      <c r="V140" s="68">
        <v>964053</v>
      </c>
      <c r="W140" s="68"/>
      <c r="X140" s="68">
        <v>1.51</v>
      </c>
      <c r="Y140" s="68">
        <v>4.1852240000000096</v>
      </c>
      <c r="Z140" s="68">
        <v>2.179197999999992</v>
      </c>
      <c r="AA140" s="68">
        <v>2.1727979999999998</v>
      </c>
      <c r="AB140" s="68">
        <v>2.3695979999999999</v>
      </c>
      <c r="AC140" s="68">
        <v>1.798994999999999</v>
      </c>
      <c r="AD140" s="68">
        <v>1.6935714285714281</v>
      </c>
      <c r="AE140" s="68">
        <v>1.6437500000000009</v>
      </c>
      <c r="AF140" s="68">
        <f>IF($Z$3="yes", -0.0435463531088281/$X140, -0.0435463531088281)</f>
        <v>-2.8838644442932517E-2</v>
      </c>
      <c r="AG140" s="68">
        <f>IF($Z$3="yes", -0.000442709870985799/$X140, -0.000442709870985799)</f>
        <v>-2.9318534502370796E-4</v>
      </c>
      <c r="AH140" s="68">
        <f>IF($Z$3="yes", -0.020412076830732/$X140, -0.020412076830732)</f>
        <v>-1.3517931675981455E-2</v>
      </c>
      <c r="AI140" s="68">
        <f>IF($Z$3="yes", -0.0147218967587033/$X140, -0.0147218967587033)</f>
        <v>-9.749600502452516E-3</v>
      </c>
      <c r="AJ140" s="68">
        <f>IF($Z$3="yes", -0.0306906015037578/$X140, -0.0306906015037578)</f>
        <v>-2.0324901658117747E-2</v>
      </c>
      <c r="AK140" s="68">
        <f>IF($Z$3="yes", -0.0205494505494552/$X140, -0.0205494505494552)</f>
        <v>-1.3608907648645828E-2</v>
      </c>
      <c r="AL140" s="68">
        <f>IF($Z$3="yes", -0.0358333333333391/$X140, -0.0358333333333391)</f>
        <v>-2.3730684326714636E-2</v>
      </c>
      <c r="AM140" s="68">
        <f>IF($Z$3="yes", 2.00602600000001/$X140, 2.00602600000001)</f>
        <v>1.3284940397351059</v>
      </c>
      <c r="AN140" s="68">
        <f>IF($Z$3="yes", 2.01242600000001/$X140, 2.01242600000001)</f>
        <v>1.3327324503311324</v>
      </c>
      <c r="AO140" s="68">
        <f>IF($Z$3="yes", 1.815626/$X140, 1.815626)</f>
        <v>1.2024013245033112</v>
      </c>
      <c r="AP140" s="68">
        <f>IF($Z$3="yes", 2.38622900000001/$X140, 2.38622900000001)</f>
        <v>1.5802841059602715</v>
      </c>
      <c r="AQ140" s="68">
        <f>IF($Z$3="yes", 2.49165257142858/$X140, 2.49165257142858)</f>
        <v>1.6501010406811789</v>
      </c>
      <c r="AR140" s="68">
        <f>IF($Z$3="yes", 2.541474/$X140, 2.541474)</f>
        <v>1.6830953642384106</v>
      </c>
      <c r="AS140" s="68">
        <f>IF($Z$3="yes", 0.00639999999999263/$X140, 0.00639999999999263)</f>
        <v>4.2384105960216094E-3</v>
      </c>
      <c r="AT140" s="68">
        <f>IF($Z$3="yes", 0.190400000000007/$X140, 0.190400000000007)</f>
        <v>0.12609271523179272</v>
      </c>
      <c r="AU140" s="88">
        <f>IF($Z$3="yes", 0.380202999999992/$X140, 0.380202999999992)</f>
        <v>0.25179006622516026</v>
      </c>
      <c r="AV140" s="88">
        <f>IF($Z$3="yes", 0.485626571428564/$X140, 0.485626571428564)</f>
        <v>0.32160700094606887</v>
      </c>
      <c r="AW140" s="88">
        <f>IF($Z$3="yes", 0.535447999999991/$X140, 0.535447999999991)</f>
        <v>0.35460132450330534</v>
      </c>
      <c r="AX140" s="88">
        <f>IF($Z$3="yes", 0.1968/$X140, 0.1968)</f>
        <v>0.13033112582781456</v>
      </c>
      <c r="AY140" s="88">
        <f>IF($Z$3="yes", 0.570603/$X140, 0.570603)</f>
        <v>0.37788278145695364</v>
      </c>
      <c r="AZ140" s="88">
        <f>IF($Z$3="yes", 0.676026571428572/$X140, 0.676026571428572)</f>
        <v>0.44769971617786225</v>
      </c>
      <c r="BA140" s="88">
        <f>IF($Z$3="yes", 0.725847999999998/$X140, 0.725847999999998)</f>
        <v>0.48069403973509806</v>
      </c>
      <c r="BB140" s="88">
        <f>IF($Z$3="yes", 0.373803/$X140, 0.373803)</f>
        <v>0.24755165562913906</v>
      </c>
      <c r="BC140" s="88">
        <f>IF($Z$3="yes", 0.479226571428571/$X140, 0.479226571428571)</f>
        <v>0.317368590350047</v>
      </c>
      <c r="BD140" s="88">
        <f>IF($Z$3="yes", 0.529047999999998/$X140, 0.529047999999998)</f>
        <v>0.35036291390728341</v>
      </c>
      <c r="BE140" s="88">
        <f>IF($Z$3="yes", 0.105423571428571/$X140, 0.105423571428571)</f>
        <v>6.9816934720907955E-2</v>
      </c>
      <c r="BF140" s="88">
        <f>IF($Z$3="yes", 0.155244999999998/$X140, 0.155244999999998)</f>
        <v>0.10281125827814437</v>
      </c>
      <c r="BG140" s="88">
        <f>IF($Z$3="yes", 0.0498214285714266/$X140, 0.0498214285714266)</f>
        <v>3.2994323557236159E-2</v>
      </c>
      <c r="BH140" s="88">
        <f>IF($Z$3="yes", 0.858677414965986/$X140, 0.858677414965986)</f>
        <v>0.56866053971257358</v>
      </c>
      <c r="BI140" s="68"/>
      <c r="BJ140" s="68"/>
      <c r="BK140" s="68">
        <f>IF($BL$3="yes", MAX(0, (964053 - 3475335.4) / 1838332.01685393), 3475335.4)</f>
        <v>3475335.4</v>
      </c>
      <c r="BL140" s="68">
        <f>IF($BL$3="yes", MAX(0, (964053 - 15598698.6) / 35371378.6007043), 15598698.6)</f>
        <v>15598698.6</v>
      </c>
      <c r="BM140" s="68">
        <f>IF($BL$3="yes", MAX(0, (964053 - 10453498.4) / 26528465.6774794), 10453498.4)</f>
        <v>10453498.4</v>
      </c>
      <c r="BN140" s="68">
        <f>IF($BL$3="yes", MAX(0, (964053 - 7026893.06) / 18104506.568904), 7026893.06)</f>
        <v>7026893.0599999996</v>
      </c>
      <c r="BO140" s="68">
        <f>IF($BL$3="yes", MAX(0, (964053 - 5529380.16) / 14410802.6817485), 5529380.16)</f>
        <v>5529380.1600000001</v>
      </c>
      <c r="BP140" s="68">
        <f>IF($BL$3="yes", MAX(0, (964053 - 2798514.195) / 10549952.5081225), 2798514.195)</f>
        <v>2798514.1949999998</v>
      </c>
      <c r="BQ140" s="68">
        <v>25.997566892271781</v>
      </c>
      <c r="BR140" s="68"/>
      <c r="BS140" s="68"/>
      <c r="BT140" s="68">
        <v>-214352258.0575124</v>
      </c>
      <c r="BU140" s="68">
        <v>-8115688.2007440329</v>
      </c>
      <c r="BV140" s="68">
        <f>IF($Z$3="yes", 0.208841992827235/$X140, 0.208841992827235)</f>
        <v>0.13830595551472516</v>
      </c>
      <c r="BW140" s="68">
        <f>IF($Z$3="yes", 0.273616640671102/$X140, 0.273616640671102)</f>
        <v>0.18120307329212051</v>
      </c>
      <c r="BX140" s="68">
        <f>$BW$140 - $BV$140</f>
        <v>4.2897117777395355E-2</v>
      </c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81"/>
      <c r="CR140" s="81"/>
      <c r="CS140" s="68"/>
      <c r="CT140" s="68"/>
      <c r="CU140" s="68"/>
    </row>
    <row r="141" spans="1:99" ht="15.75" customHeight="1" thickBot="1" x14ac:dyDescent="0.3">
      <c r="A141" s="84"/>
      <c r="B141" s="67" t="s">
        <v>128</v>
      </c>
      <c r="C141" s="83" t="s">
        <v>466</v>
      </c>
      <c r="D141" s="67" t="s">
        <v>467</v>
      </c>
      <c r="E141" s="67">
        <v>1</v>
      </c>
      <c r="F141" s="85">
        <v>3.7</v>
      </c>
      <c r="G141" s="313">
        <v>44321</v>
      </c>
      <c r="H141" s="317">
        <v>2.21</v>
      </c>
      <c r="I141" s="85">
        <v>4.08</v>
      </c>
      <c r="J141" s="313">
        <v>44361</v>
      </c>
      <c r="K141" s="125">
        <f t="shared" si="6"/>
        <v>-0.4027027027027027</v>
      </c>
      <c r="L141" s="184">
        <f t="shared" si="7"/>
        <v>0.10270270270270276</v>
      </c>
      <c r="M141" s="312">
        <v>44407</v>
      </c>
      <c r="N141" s="68"/>
      <c r="O141" s="291">
        <v>139209554</v>
      </c>
      <c r="P141" s="291">
        <v>129340000</v>
      </c>
      <c r="Q141" s="291">
        <v>40</v>
      </c>
      <c r="R141" s="68" t="s">
        <v>152</v>
      </c>
      <c r="S141" s="68" t="s">
        <v>148</v>
      </c>
      <c r="T141" s="68" t="s">
        <v>468</v>
      </c>
      <c r="U141" s="68">
        <v>1700</v>
      </c>
      <c r="V141" s="68">
        <v>13176459</v>
      </c>
      <c r="W141" s="68"/>
      <c r="X141" s="68">
        <v>3.76</v>
      </c>
      <c r="Y141" s="68">
        <v>6.6441500000000042</v>
      </c>
      <c r="Z141" s="68">
        <v>6.1651999999999942</v>
      </c>
      <c r="AA141" s="68">
        <v>6.4940999999999933</v>
      </c>
      <c r="AB141" s="68">
        <v>7.2740999999999998</v>
      </c>
      <c r="AC141" s="68">
        <v>4.3797499999999987</v>
      </c>
      <c r="AD141" s="68">
        <v>4.1971428571428531</v>
      </c>
      <c r="AE141" s="68">
        <v>4.0912499999999978</v>
      </c>
      <c r="AF141" s="68">
        <f>IF($Z$3="yes", -0.00438442211055296/$X141, -0.00438442211055296)</f>
        <v>-1.1660697102534468E-3</v>
      </c>
      <c r="AG141" s="68">
        <f>IF($Z$3="yes", 0.00560192019202037/$X141, 0.00560192019202037)</f>
        <v>1.4898723914947792E-3</v>
      </c>
      <c r="AH141" s="68">
        <f>IF($Z$3="yes", -0.105694837935172/$X141, -0.105694837935172)</f>
        <v>-2.8110329238077662E-2</v>
      </c>
      <c r="AI141" s="68">
        <f>IF($Z$3="yes", -0.0627214885954387/$X141, -0.0627214885954387)</f>
        <v>-1.6681246966871996E-2</v>
      </c>
      <c r="AJ141" s="68">
        <f>IF($Z$3="yes", -0.0612744360902261/$X141, -0.0612744360902261)</f>
        <v>-1.6296392577187794E-2</v>
      </c>
      <c r="AK141" s="68">
        <f>IF($Z$3="yes", -0.0558241758241716/$X141, -0.0558241758241716)</f>
        <v>-1.4846855272386066E-2</v>
      </c>
      <c r="AL141" s="68">
        <f>IF($Z$3="yes", -0.122261904761846/$X141, -0.122261904761846)</f>
        <v>-3.2516464032405851E-2</v>
      </c>
      <c r="AM141" s="68">
        <f>IF($Z$3="yes", 0.47895000000001/$X141, 0.47895000000001)</f>
        <v>0.12738031914893883</v>
      </c>
      <c r="AN141" s="68">
        <f>IF($Z$3="yes", 0.15005000000001/$X141, 0.15005000000001)</f>
        <v>3.9906914893619687E-2</v>
      </c>
      <c r="AO141" s="68">
        <f>IF($Z$3="yes", 0.629949999999995/$X141, 0.629949999999995)</f>
        <v>0.16753989361701996</v>
      </c>
      <c r="AP141" s="68">
        <f>IF($Z$3="yes", 2.2644/$X141, 2.2644)</f>
        <v>0.60223404255319157</v>
      </c>
      <c r="AQ141" s="68">
        <f>IF($Z$3="yes", 2.44700714285715/$X141, 2.44700714285715)</f>
        <v>0.6507997720364761</v>
      </c>
      <c r="AR141" s="68">
        <f>IF($Z$3="yes", 2.5529/$X141, 2.5529)</f>
        <v>0.67896276595744687</v>
      </c>
      <c r="AS141" s="68">
        <f>IF($Z$3="yes", 0.328899999999999/$X141, 0.328899999999999)</f>
        <v>8.7473404255318896E-2</v>
      </c>
      <c r="AT141" s="68">
        <f>IF($Z$3="yes", 1.1089/$X141, 1.1089)</f>
        <v>0.29492021276595748</v>
      </c>
      <c r="AU141" s="88">
        <f>IF($Z$3="yes", 1.78544999999999/$X141, 1.78544999999999)</f>
        <v>0.47485372340425269</v>
      </c>
      <c r="AV141" s="88">
        <f>IF($Z$3="yes", 1.96805714285714/$X141, 1.96805714285714)</f>
        <v>0.52341945288753733</v>
      </c>
      <c r="AW141" s="88">
        <f>IF($Z$3="yes", 2.07394999999999/$X141, 2.07394999999999)</f>
        <v>0.5515824468085081</v>
      </c>
      <c r="AX141" s="88">
        <f>IF($Z$3="yes", 0.780000000000006/$X141, 0.780000000000006)</f>
        <v>0.2074468085106399</v>
      </c>
      <c r="AY141" s="88">
        <f>IF($Z$3="yes", 2.89435/$X141, 2.89435)</f>
        <v>0.76977393617021284</v>
      </c>
      <c r="AZ141" s="88">
        <f>IF($Z$3="yes", 3.07695714285714/$X141, 3.07695714285714)</f>
        <v>0.8183396656534947</v>
      </c>
      <c r="BA141" s="88">
        <f>IF($Z$3="yes", 3.18285/$X141, 3.18285)</f>
        <v>0.84650265957446813</v>
      </c>
      <c r="BB141" s="88">
        <f>IF($Z$3="yes", 2.11434999999999/$X141, 2.11434999999999)</f>
        <v>0.56232712765957193</v>
      </c>
      <c r="BC141" s="88">
        <f>IF($Z$3="yes", 2.29695714285714/$X141, 2.29695714285714)</f>
        <v>0.61089285714285635</v>
      </c>
      <c r="BD141" s="88">
        <f>IF($Z$3="yes", 2.40284999999999/$X141, 2.40284999999999)</f>
        <v>0.63905585106382723</v>
      </c>
      <c r="BE141" s="88">
        <f>IF($Z$3="yes", 0.182607142857145/$X141, 0.182607142857145)</f>
        <v>4.8565729483283249E-2</v>
      </c>
      <c r="BF141" s="88">
        <f>IF($Z$3="yes", 0.2885/$X141, 0.2885)</f>
        <v>7.6728723404255322E-2</v>
      </c>
      <c r="BG141" s="88">
        <f>IF($Z$3="yes", 0.105892857142855/$X141, 0.105892857142855)</f>
        <v>2.8162993920972077E-2</v>
      </c>
      <c r="BH141" s="88">
        <f>IF($Z$3="yes", 1.94158197278911/$X141, 1.94158197278911)</f>
        <v>0.51637818425242288</v>
      </c>
      <c r="BI141" s="68"/>
      <c r="BJ141" s="68"/>
      <c r="BK141" s="68">
        <f>IF($BL$3="yes", MAX(0, (13176459 - 11192417.6) / 2226357.87328574), 11192417.6)</f>
        <v>11192417.6</v>
      </c>
      <c r="BL141" s="68">
        <f>IF($BL$3="yes", MAX(0, (13176459 - 10576980.4) / 1814721.63418934), 10576980.4)</f>
        <v>10576980.4</v>
      </c>
      <c r="BM141" s="68">
        <f>IF($BL$3="yes", MAX(0, (13176459 - 18817236.2) / 15906632.4126705), 18817236.2)</f>
        <v>18817236.199999999</v>
      </c>
      <c r="BN141" s="68">
        <f>IF($BL$3="yes", MAX(0, (13176459 - 23481512.1) / 20067243.294606), 23481512.1)</f>
        <v>23481512.100000001</v>
      </c>
      <c r="BO141" s="68">
        <f>IF($BL$3="yes", MAX(0, (13176459 - 19030984.53) / 21900663.5307618), 19030984.53)</f>
        <v>19030984.530000001</v>
      </c>
      <c r="BP141" s="68">
        <f>IF($BL$3="yes", MAX(0, (13176459 - 10061194.945) / 17961656.4764812), 10061194.945)</f>
        <v>10061194.945</v>
      </c>
      <c r="BQ141" s="68">
        <v>26.341053137269679</v>
      </c>
      <c r="BR141" s="68"/>
      <c r="BS141" s="68"/>
      <c r="BT141" s="68">
        <v>-63138551.229556806</v>
      </c>
      <c r="BU141" s="68">
        <v>-896147.62612285558</v>
      </c>
      <c r="BV141" s="68">
        <f>IF($Z$3="yes", 0.609172695441961/$X141, 0.609172695441961)</f>
        <v>0.16201401474520238</v>
      </c>
      <c r="BW141" s="68">
        <f>IF($Z$3="yes", 1.26492713620696/$X141, 1.26492713620696)</f>
        <v>0.33641679154440429</v>
      </c>
      <c r="BX141" s="68">
        <f>$BW$141 - $BV$141</f>
        <v>0.17440277679920191</v>
      </c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81"/>
      <c r="CR141" s="81"/>
      <c r="CS141" s="68"/>
      <c r="CT141" s="68"/>
      <c r="CU141" s="68"/>
    </row>
    <row r="142" spans="1:99" ht="15.75" customHeight="1" thickBot="1" x14ac:dyDescent="0.3">
      <c r="A142" s="84"/>
      <c r="B142" s="67" t="s">
        <v>128</v>
      </c>
      <c r="C142" s="83" t="s">
        <v>469</v>
      </c>
      <c r="D142" s="67" t="s">
        <v>470</v>
      </c>
      <c r="E142" s="67">
        <v>1</v>
      </c>
      <c r="F142" s="85">
        <v>3.36</v>
      </c>
      <c r="G142" s="313">
        <v>44316</v>
      </c>
      <c r="H142" s="317">
        <v>2.98</v>
      </c>
      <c r="I142" s="85">
        <v>3.75</v>
      </c>
      <c r="J142" s="313">
        <v>44355</v>
      </c>
      <c r="K142" s="89">
        <f t="shared" si="6"/>
        <v>-0.11309523809523803</v>
      </c>
      <c r="L142" s="91">
        <f t="shared" si="7"/>
        <v>0.1160714285714286</v>
      </c>
      <c r="M142" s="312">
        <v>44407</v>
      </c>
      <c r="N142" s="68"/>
      <c r="O142" s="291">
        <v>14890094</v>
      </c>
      <c r="P142" s="291">
        <v>11450000</v>
      </c>
      <c r="Q142" s="291">
        <v>39</v>
      </c>
      <c r="R142" s="68" t="s">
        <v>131</v>
      </c>
      <c r="S142" s="68" t="s">
        <v>188</v>
      </c>
      <c r="T142" s="68" t="s">
        <v>339</v>
      </c>
      <c r="U142" s="68">
        <v>512</v>
      </c>
      <c r="V142" s="68">
        <v>329277</v>
      </c>
      <c r="W142" s="68"/>
      <c r="X142" s="68">
        <v>3.36</v>
      </c>
      <c r="Y142" s="68" t="e">
        <v>#N/A</v>
      </c>
      <c r="Z142" s="68">
        <v>3.6108999999999978</v>
      </c>
      <c r="AA142" s="68">
        <v>3.2538000000000009</v>
      </c>
      <c r="AB142" s="68">
        <v>3.3223999999999978</v>
      </c>
      <c r="AC142" s="68">
        <v>3.2654999999999981</v>
      </c>
      <c r="AD142" s="68">
        <v>3.2314285714285709</v>
      </c>
      <c r="AE142" s="68">
        <v>3.3462500000000008</v>
      </c>
      <c r="AF142" s="68" t="e">
        <f>IF($Z$3="yes", #N/A/$X142, #N/A)</f>
        <v>#N/A</v>
      </c>
      <c r="AG142" s="68">
        <f>IF($Z$3="yes", -0.0157024302430241/$X142, -0.0157024302430241)</f>
        <v>-4.6733423342333637E-3</v>
      </c>
      <c r="AH142" s="68">
        <f>IF($Z$3="yes", -0.000522929171668667/$X142, -0.000522929171668667)</f>
        <v>-1.5563368204424613E-4</v>
      </c>
      <c r="AI142" s="68">
        <f>IF($Z$3="yes", -0.0087250900360125/$X142, -0.0087250900360125)</f>
        <v>-2.5967529869084824E-3</v>
      </c>
      <c r="AJ142" s="68">
        <f>IF($Z$3="yes", 0.00313533834586416/$X142, 0.00313533834586416)</f>
        <v>9.3313641245957148E-4</v>
      </c>
      <c r="AK142" s="68">
        <f>IF($Z$3="yes", 0.0365274725274691/$X142, 0.0365274725274691)</f>
        <v>1.0871271585556281E-2</v>
      </c>
      <c r="AL142" s="68">
        <f>IF($Z$3="yes", 0.047738095238109/$X142, 0.047738095238109)</f>
        <v>1.4207766439913392E-2</v>
      </c>
      <c r="AM142" s="68"/>
      <c r="AN142" s="68"/>
      <c r="AO142" s="68"/>
      <c r="AP142" s="68"/>
      <c r="AQ142" s="68"/>
      <c r="AR142" s="68"/>
      <c r="AS142" s="68">
        <f>IF($Z$3="yes", 0.357099999999996/$X142, 0.357099999999996)</f>
        <v>0.10627976190476071</v>
      </c>
      <c r="AT142" s="68">
        <f>IF($Z$3="yes", 0.2885/$X142, 0.2885)</f>
        <v>8.5863095238095238E-2</v>
      </c>
      <c r="AU142" s="88">
        <f>IF($Z$3="yes", 0.3454/$X142, 0.3454)</f>
        <v>0.10279761904761904</v>
      </c>
      <c r="AV142" s="88">
        <f>IF($Z$3="yes", 0.379471428571427/$X142, 0.379471428571427)</f>
        <v>0.11293792517006757</v>
      </c>
      <c r="AW142" s="88">
        <f>IF($Z$3="yes", 0.264649999999997/$X142, 0.264649999999997)</f>
        <v>7.8764880952380059E-2</v>
      </c>
      <c r="AX142" s="88">
        <f>IF($Z$3="yes", 0.0685999999999968/$X142, 0.0685999999999968)</f>
        <v>2.0416666666665716E-2</v>
      </c>
      <c r="AY142" s="88">
        <f>IF($Z$3="yes", 0.0569000000000006/$X142, 0.0569000000000006)</f>
        <v>1.6934523809523989E-2</v>
      </c>
      <c r="AZ142" s="88">
        <f>IF($Z$3="yes", 0.0909714285714273/$X142, 0.0909714285714273)</f>
        <v>2.7074829931972411E-2</v>
      </c>
      <c r="BA142" s="88">
        <f>IF($Z$3="yes", 0.0238500000000025/$X142, 0.0238500000000025)</f>
        <v>7.09821428571503E-3</v>
      </c>
      <c r="BB142" s="88">
        <f>IF($Z$3="yes", 0.0116999999999962/$X142, 0.0116999999999962)</f>
        <v>3.4821428571417262E-3</v>
      </c>
      <c r="BC142" s="88">
        <f>IF($Z$3="yes", 0.0223714285714304/$X142, 0.0223714285714304)</f>
        <v>6.6581632653066663E-3</v>
      </c>
      <c r="BD142" s="88">
        <f>IF($Z$3="yes", 0.0924499999999994/$X142, 0.0924499999999994)</f>
        <v>2.7514880952380773E-2</v>
      </c>
      <c r="BE142" s="88">
        <f>IF($Z$3="yes", 0.0340714285714267/$X142, 0.0340714285714267)</f>
        <v>1.0140306122448423E-2</v>
      </c>
      <c r="BF142" s="88">
        <f>IF($Z$3="yes", 0.0807500000000032/$X142, 0.0807500000000032)</f>
        <v>2.4032738095239047E-2</v>
      </c>
      <c r="BG142" s="88">
        <f>IF($Z$3="yes", 0.114821428571429/$X142, 0.114821428571429)</f>
        <v>3.4173044217687208E-2</v>
      </c>
      <c r="BH142" s="88">
        <f>IF($Z$3="yes", 0.419489795918367/$X142, 0.419489795918367)</f>
        <v>0.12484815354713304</v>
      </c>
      <c r="BI142" s="68"/>
      <c r="BJ142" s="68"/>
      <c r="BK142" s="68">
        <f>IF($BL$3="yes", MAX(0, (329277 - 496228.4) / 246846.13211602), 496228.4)</f>
        <v>496228.4</v>
      </c>
      <c r="BL142" s="68">
        <f>IF($BL$3="yes", MAX(0, (329277 - 454861) / 242377.857516316), 454861)</f>
        <v>454861</v>
      </c>
      <c r="BM142" s="68">
        <f>IF($BL$3="yes", MAX(0, (329277 - 454768.9) / 364817.749615188), 454768.9)</f>
        <v>454768.9</v>
      </c>
      <c r="BN142" s="68">
        <f>IF($BL$3="yes", MAX(0, (329277 - 617063.24) / 466824.289194748), 617063.24)</f>
        <v>617063.24</v>
      </c>
      <c r="BO142" s="68">
        <f>IF($BL$3="yes", MAX(0, (329277 - 819815.15) / 871048.511728243), 819815.15)</f>
        <v>819815.15</v>
      </c>
      <c r="BP142" s="68">
        <f>IF($BL$3="yes", MAX(0, (329277 - 520580.49704142) / 777346.596806122), 520580.49704142)</f>
        <v>520580.49704142002</v>
      </c>
      <c r="BQ142" s="68">
        <v>41.955311419616798</v>
      </c>
      <c r="BR142" s="68"/>
      <c r="BS142" s="68"/>
      <c r="BT142" s="68">
        <v>-1384388.969273709</v>
      </c>
      <c r="BU142" s="68">
        <v>81354.007267621579</v>
      </c>
      <c r="BV142" s="68">
        <f>IF($Z$3="yes", 0.20633939362585/$X142, 0.20633939362585)</f>
        <v>6.1410533817217262E-2</v>
      </c>
      <c r="BW142" s="68">
        <f>IF($Z$3="yes", 0.25671429745836/$X142, 0.25671429745836)</f>
        <v>7.6403064719750002E-2</v>
      </c>
      <c r="BX142" s="68">
        <f>$BW$142 - $BV$142</f>
        <v>1.499253090253274E-2</v>
      </c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81"/>
      <c r="CR142" s="81"/>
      <c r="CS142" s="68"/>
      <c r="CT142" s="68"/>
      <c r="CU142" s="68"/>
    </row>
    <row r="143" spans="1:99" ht="15.75" customHeight="1" thickBot="1" x14ac:dyDescent="0.3">
      <c r="A143" s="84"/>
      <c r="B143" s="67" t="s">
        <v>128</v>
      </c>
      <c r="C143" s="83" t="s">
        <v>471</v>
      </c>
      <c r="D143" s="67" t="s">
        <v>472</v>
      </c>
      <c r="E143" s="67">
        <v>1</v>
      </c>
      <c r="F143" s="85">
        <v>4.9000000000000004</v>
      </c>
      <c r="G143" s="313">
        <v>44314</v>
      </c>
      <c r="H143" s="317">
        <v>3.9</v>
      </c>
      <c r="I143" s="85">
        <v>5.75</v>
      </c>
      <c r="J143" s="313">
        <v>44350</v>
      </c>
      <c r="K143" s="185">
        <f t="shared" si="6"/>
        <v>-0.20408163265306134</v>
      </c>
      <c r="L143" s="121">
        <f t="shared" si="7"/>
        <v>0.1734693877551019</v>
      </c>
      <c r="M143" s="312">
        <v>44407</v>
      </c>
      <c r="N143" s="68"/>
      <c r="O143" s="291">
        <v>12354040</v>
      </c>
      <c r="P143" s="291">
        <v>3090000</v>
      </c>
      <c r="Q143" s="291">
        <v>36</v>
      </c>
      <c r="R143" s="68" t="s">
        <v>152</v>
      </c>
      <c r="S143" s="68" t="s">
        <v>473</v>
      </c>
      <c r="T143" s="68" t="s">
        <v>474</v>
      </c>
      <c r="U143" s="68">
        <v>332</v>
      </c>
      <c r="V143" s="68">
        <v>1149242</v>
      </c>
      <c r="W143" s="68"/>
      <c r="X143" s="68">
        <v>4.8899999999999997</v>
      </c>
      <c r="Y143" s="68" t="e">
        <v>#N/A</v>
      </c>
      <c r="Z143" s="68">
        <v>9.1820940000000064</v>
      </c>
      <c r="AA143" s="68">
        <v>6.2742000000000058</v>
      </c>
      <c r="AB143" s="68">
        <v>7.8316000000000168</v>
      </c>
      <c r="AC143" s="68">
        <v>4.6614999999999958</v>
      </c>
      <c r="AD143" s="68">
        <v>4.4735714285714341</v>
      </c>
      <c r="AE143" s="68">
        <v>4.361249999999993</v>
      </c>
      <c r="AF143" s="68" t="e">
        <f>IF($Z$3="yes", #N/A/$X143, #N/A)</f>
        <v>#N/A</v>
      </c>
      <c r="AG143" s="68">
        <f>IF($Z$3="yes", -0.0684064758475858/$X143, -0.0684064758475858)</f>
        <v>-1.3989054365559469E-2</v>
      </c>
      <c r="AH143" s="68">
        <f>IF($Z$3="yes", -0.12834237695078/$X143, -0.12834237695078)</f>
        <v>-2.6245884857010224E-2</v>
      </c>
      <c r="AI143" s="68">
        <f>IF($Z$3="yes", -0.1881824729892/$X143, -0.1881824729892)</f>
        <v>-3.8483123310674848E-2</v>
      </c>
      <c r="AJ143" s="68">
        <f>IF($Z$3="yes", -0.0432406015037519/$X143, -0.0432406015037519)</f>
        <v>-8.8426587942232928E-3</v>
      </c>
      <c r="AK143" s="68">
        <f>IF($Z$3="yes", -0.0125494505494646/$X143, -0.0125494505494646)</f>
        <v>-2.5663498056164831E-3</v>
      </c>
      <c r="AL143" s="68">
        <f>IF($Z$3="yes", 0.118928571428586/$X143, 0.118928571428586)</f>
        <v>2.4320771253289571E-2</v>
      </c>
      <c r="AM143" s="68"/>
      <c r="AN143" s="68"/>
      <c r="AO143" s="68"/>
      <c r="AP143" s="68"/>
      <c r="AQ143" s="68"/>
      <c r="AR143" s="68"/>
      <c r="AS143" s="68">
        <f>IF($Z$3="yes", 2.907894/$X143, 2.907894)</f>
        <v>0.59466134969325157</v>
      </c>
      <c r="AT143" s="68">
        <f>IF($Z$3="yes", 1.35049399999998/$X143, 1.35049399999998)</f>
        <v>0.27617464212678533</v>
      </c>
      <c r="AU143" s="88">
        <f>IF($Z$3="yes", 4.52059400000001/$X143, 4.52059400000001)</f>
        <v>0.92445685071574846</v>
      </c>
      <c r="AV143" s="88">
        <f>IF($Z$3="yes", 4.70852257142857/$X143, 4.70852257142857)</f>
        <v>0.96288805141688549</v>
      </c>
      <c r="AW143" s="88">
        <f>IF($Z$3="yes", 4.82084400000001/$X143, 4.82084400000001)</f>
        <v>0.98585766871165859</v>
      </c>
      <c r="AX143" s="88">
        <f>IF($Z$3="yes", 1.55740000000001/$X143, 1.55740000000001)</f>
        <v>0.31848670756646424</v>
      </c>
      <c r="AY143" s="88">
        <f>IF($Z$3="yes", 3.17010000000002/$X143, 3.17010000000002)</f>
        <v>0.64828220858896124</v>
      </c>
      <c r="AZ143" s="88">
        <f>IF($Z$3="yes", 3.35802857142858/$X143, 3.35802857142858)</f>
        <v>0.68671340929009816</v>
      </c>
      <c r="BA143" s="88">
        <f>IF($Z$3="yes", 3.47035000000002/$X143, 3.47035000000002)</f>
        <v>0.70968302658487115</v>
      </c>
      <c r="BB143" s="88">
        <f>IF($Z$3="yes", 1.61270000000001/$X143, 1.61270000000001)</f>
        <v>0.32979550102249694</v>
      </c>
      <c r="BC143" s="88">
        <f>IF($Z$3="yes", 1.80062857142857/$X143, 1.80062857142857)</f>
        <v>0.36822670172363398</v>
      </c>
      <c r="BD143" s="88">
        <f>IF($Z$3="yes", 1.91295000000001/$X143, 1.91295000000001)</f>
        <v>0.39119631901840696</v>
      </c>
      <c r="BE143" s="88">
        <f>IF($Z$3="yes", 0.187928571428561/$X143, 0.187928571428561)</f>
        <v>3.8431200701137223E-2</v>
      </c>
      <c r="BF143" s="88">
        <f>IF($Z$3="yes", 0.300250000000002/$X143, 0.300250000000002)</f>
        <v>6.1400817995910434E-2</v>
      </c>
      <c r="BG143" s="88">
        <f>IF($Z$3="yes", 0.112321428571441/$X143, 0.112321428571441)</f>
        <v>2.2969617294773214E-2</v>
      </c>
      <c r="BH143" s="88">
        <f>IF($Z$3="yes", 2.1250393877551/$X143, 2.1250393877551)</f>
        <v>0.43456838195400826</v>
      </c>
      <c r="BI143" s="68"/>
      <c r="BJ143" s="68"/>
      <c r="BK143" s="68">
        <f>IF($BL$3="yes", MAX(0, (1149242 - 903660) / 939809.074040254), 903660)</f>
        <v>903660</v>
      </c>
      <c r="BL143" s="68">
        <f>IF($BL$3="yes", MAX(0, (1149242 - 596207.1) / 732446.700630489), 596207.1)</f>
        <v>596207.1</v>
      </c>
      <c r="BM143" s="68">
        <f>IF($BL$3="yes", MAX(0, (1149242 - 804792.95) / 1231877.71527203), 804792.95)</f>
        <v>804792.95</v>
      </c>
      <c r="BN143" s="68">
        <f>IF($BL$3="yes", MAX(0, (1149242 - 1146617.32) / 1687663.39009287), 1146617.32)</f>
        <v>1146617.32</v>
      </c>
      <c r="BO143" s="68">
        <f>IF($BL$3="yes", MAX(0, (1149242 - 1174570.18) / 2741126.51795858), 1174570.18)</f>
        <v>1174570.18</v>
      </c>
      <c r="BP143" s="68">
        <f>IF($BL$3="yes", MAX(0, (1149242 - 914090.969230769) / 2451459.73056262), 914090.969230769)</f>
        <v>914090.96923076897</v>
      </c>
      <c r="BQ143" s="68">
        <v>46.269743242695107</v>
      </c>
      <c r="BR143" s="68"/>
      <c r="BS143" s="68"/>
      <c r="BT143" s="68">
        <v>-19993541.651707988</v>
      </c>
      <c r="BU143" s="68">
        <v>-494622.86441210657</v>
      </c>
      <c r="BV143" s="68">
        <f>IF($Z$3="yes", 0.591901876921672/$X143, 0.591901876921672)</f>
        <v>0.12104332861383886</v>
      </c>
      <c r="BW143" s="68">
        <f>IF($Z$3="yes", 1.71869456720372/$X143, 1.71869456720372)</f>
        <v>0.35147128163675256</v>
      </c>
      <c r="BX143" s="68">
        <f>$BW$143 - $BV$143</f>
        <v>0.23042795302291369</v>
      </c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81"/>
      <c r="CR143" s="81"/>
      <c r="CS143" s="68"/>
      <c r="CT143" s="68"/>
      <c r="CU143" s="68"/>
    </row>
    <row r="144" spans="1:99" ht="15.75" customHeight="1" thickBot="1" x14ac:dyDescent="0.3">
      <c r="A144" s="84"/>
      <c r="B144" s="67" t="s">
        <v>181</v>
      </c>
      <c r="C144" s="83" t="s">
        <v>475</v>
      </c>
      <c r="D144" s="67" t="s">
        <v>476</v>
      </c>
      <c r="E144" s="67">
        <v>1</v>
      </c>
      <c r="F144" s="85">
        <v>0.14000000000000001</v>
      </c>
      <c r="G144" s="313">
        <v>44312</v>
      </c>
      <c r="H144" s="317">
        <v>0.1895</v>
      </c>
      <c r="I144" s="317">
        <v>0.46</v>
      </c>
      <c r="J144" s="313">
        <v>44350</v>
      </c>
      <c r="K144" s="175">
        <f t="shared" si="6"/>
        <v>0.35357142857142843</v>
      </c>
      <c r="L144" s="149">
        <f t="shared" si="7"/>
        <v>2.2857142857142856</v>
      </c>
      <c r="M144" s="312">
        <v>44407</v>
      </c>
      <c r="N144" s="68"/>
      <c r="O144" s="68">
        <v>15314183</v>
      </c>
      <c r="P144" s="68"/>
      <c r="Q144" s="68">
        <v>38</v>
      </c>
      <c r="R144" s="68"/>
      <c r="S144" s="68"/>
      <c r="T144" s="68"/>
      <c r="U144" s="68">
        <v>584</v>
      </c>
      <c r="V144" s="68">
        <v>36579</v>
      </c>
      <c r="W144" s="68"/>
      <c r="X144" s="68">
        <v>0.16</v>
      </c>
      <c r="Y144" s="68">
        <v>0.13479999999999989</v>
      </c>
      <c r="Z144" s="68">
        <v>0.14142599999999991</v>
      </c>
      <c r="AA144" s="68">
        <v>0.150948</v>
      </c>
      <c r="AB144" s="68">
        <v>0.140928</v>
      </c>
      <c r="AC144" s="68">
        <v>0.18837999999999999</v>
      </c>
      <c r="AD144" s="68">
        <v>0.18540000000000009</v>
      </c>
      <c r="AE144" s="68">
        <v>0.16478750000000009</v>
      </c>
      <c r="AF144" s="68">
        <f>IF($Z$3="yes", 0.000159685292132303/$X144, 0.000159685292132303)</f>
        <v>9.9803307582689376E-4</v>
      </c>
      <c r="AG144" s="68">
        <f>IF($Z$3="yes", 0.000411182718271843/$X144, 0.000411182718271843)</f>
        <v>2.5698919891990186E-3</v>
      </c>
      <c r="AH144" s="68">
        <f>IF($Z$3="yes", 0.00190302040816327/$X144, 0.00190302040816327)</f>
        <v>1.1893877551020436E-2</v>
      </c>
      <c r="AI144" s="68">
        <f>IF($Z$3="yes", 0.00197658583433373/$X144, 0.00197658583433373)</f>
        <v>1.2353661464585813E-2</v>
      </c>
      <c r="AJ144" s="68">
        <f>IF($Z$3="yes", -0.00312240601503753/$X144, -0.00312240601503753)</f>
        <v>-1.9515037593984562E-2</v>
      </c>
      <c r="AK144" s="68">
        <f>IF($Z$3="yes", -0.00615032967032932/$X144, -0.00615032967032932)</f>
        <v>-3.8439560439558249E-2</v>
      </c>
      <c r="AL144" s="68">
        <f>IF($Z$3="yes", -0.00288928571428551/$X144, -0.00288928571428551)</f>
        <v>-1.8058035714284437E-2</v>
      </c>
      <c r="AM144" s="68">
        <f>IF($Z$3="yes", 0.00662599999999999/$X144, 0.00662599999999999)</f>
        <v>4.1412499999999942E-2</v>
      </c>
      <c r="AN144" s="68">
        <f>IF($Z$3="yes", 0.016148/$X144, 0.016148)</f>
        <v>0.10092499999999999</v>
      </c>
      <c r="AO144" s="68">
        <f>IF($Z$3="yes", 0.00612800000000005/$X144, 0.00612800000000005)</f>
        <v>3.8300000000000313E-2</v>
      </c>
      <c r="AP144" s="68">
        <f>IF($Z$3="yes", 0.05358/$X144, 0.05358)</f>
        <v>0.33487500000000003</v>
      </c>
      <c r="AQ144" s="68">
        <f>IF($Z$3="yes", 0.0506000000000001/$X144, 0.0506000000000001)</f>
        <v>0.31625000000000064</v>
      </c>
      <c r="AR144" s="68">
        <f>IF($Z$3="yes", 0.0299875000000001/$X144, 0.0299875000000001)</f>
        <v>0.18742187500000063</v>
      </c>
      <c r="AS144" s="68">
        <f>IF($Z$3="yes", 0.00952200000000003/$X144, 0.00952200000000003)</f>
        <v>5.951250000000019E-2</v>
      </c>
      <c r="AT144" s="68">
        <f>IF($Z$3="yes", 0.000497999999999942/$X144, 0.000497999999999942)</f>
        <v>3.1124999999996373E-3</v>
      </c>
      <c r="AU144" s="88">
        <f>IF($Z$3="yes", 0.046954/$X144, 0.046954)</f>
        <v>0.29346250000000002</v>
      </c>
      <c r="AV144" s="88">
        <f>IF($Z$3="yes", 0.0439740000000001/$X144, 0.0439740000000001)</f>
        <v>0.27483750000000062</v>
      </c>
      <c r="AW144" s="88">
        <f>IF($Z$3="yes", 0.0233615000000002/$X144, 0.0233615000000002)</f>
        <v>0.14600937500000125</v>
      </c>
      <c r="AX144" s="88">
        <f>IF($Z$3="yes", 0.0100199999999999/$X144, 0.0100199999999999)</f>
        <v>6.2624999999999376E-2</v>
      </c>
      <c r="AY144" s="88">
        <f>IF($Z$3="yes", 0.047452/$X144, 0.047452)</f>
        <v>0.29657499999999998</v>
      </c>
      <c r="AZ144" s="88">
        <f>IF($Z$3="yes", 0.044472/$X144, 0.044472)</f>
        <v>0.27794999999999997</v>
      </c>
      <c r="BA144" s="88">
        <f>IF($Z$3="yes", 0.0238595000000001/$X144, 0.0238595000000001)</f>
        <v>0.14912187500000063</v>
      </c>
      <c r="BB144" s="88">
        <f>IF($Z$3="yes", 0.037432/$X144, 0.037432)</f>
        <v>0.23394999999999999</v>
      </c>
      <c r="BC144" s="88">
        <f>IF($Z$3="yes", 0.034452/$X144, 0.034452)</f>
        <v>0.21532500000000002</v>
      </c>
      <c r="BD144" s="88">
        <f>IF($Z$3="yes", 0.0138395000000001/$X144, 0.0138395000000001)</f>
        <v>8.6496875000000625E-2</v>
      </c>
      <c r="BE144" s="88">
        <f>IF($Z$3="yes", 0.00297999999999995/$X144, 0.00297999999999995)</f>
        <v>1.8624999999999687E-2</v>
      </c>
      <c r="BF144" s="88">
        <f>IF($Z$3="yes", 0.0235924999999998/$X144, 0.0235924999999998)</f>
        <v>0.14745312499999874</v>
      </c>
      <c r="BG144" s="88">
        <f>IF($Z$3="yes", 0.0206124999999999/$X144, 0.0206124999999999)</f>
        <v>0.12882812499999938</v>
      </c>
      <c r="BH144" s="88">
        <f>IF($Z$3="yes", 0.0415954523809524/$X144, 0.0415954523809524)</f>
        <v>0.2599715773809525</v>
      </c>
      <c r="BI144" s="68"/>
      <c r="BJ144" s="68"/>
      <c r="BK144" s="68">
        <f>IF($BL$3="yes", MAX(0, (36579 - 54825.8) / 45636.410596803), 54825.8)</f>
        <v>54825.8</v>
      </c>
      <c r="BL144" s="68">
        <f>IF($BL$3="yes", MAX(0, (36579 - 110321.8) / 78046.7218296835), 110321.8)</f>
        <v>110321.8</v>
      </c>
      <c r="BM144" s="68">
        <f>IF($BL$3="yes", MAX(0, (36579 - 157024.15) / 154424.285213911), 157024.15)</f>
        <v>157024.15</v>
      </c>
      <c r="BN144" s="68">
        <f>IF($BL$3="yes", MAX(0, (36579 - 82789.1) / 123722.626390688), 82789.1)</f>
        <v>82789.100000000006</v>
      </c>
      <c r="BO144" s="68">
        <f>IF($BL$3="yes", MAX(0, (36579 - 56544.27) / 100181.592273117), 56544.27)</f>
        <v>56544.27</v>
      </c>
      <c r="BP144" s="68">
        <f>IF($BL$3="yes", MAX(0, (36579 - 51948.83) / 82723.7228159558), 51948.83)</f>
        <v>51948.83</v>
      </c>
      <c r="BQ144" s="68">
        <v>47.525648526738607</v>
      </c>
      <c r="BR144" s="68"/>
      <c r="BS144" s="68"/>
      <c r="BT144" s="68">
        <v>397468.92386955768</v>
      </c>
      <c r="BU144" s="68">
        <v>-41574.267472113192</v>
      </c>
      <c r="BV144" s="68">
        <f>IF($Z$3="yes", 0.0281315323255747/$X144, 0.0281315323255747)</f>
        <v>0.17582207703484187</v>
      </c>
      <c r="BW144" s="68">
        <f>IF($Z$3="yes", 0.0252398178515712/$X144, 0.0252398178515712)</f>
        <v>0.15774886157231999</v>
      </c>
      <c r="BX144" s="68">
        <f>$BW$144 - $BV$144</f>
        <v>-1.8073215462521885E-2</v>
      </c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81"/>
      <c r="CR144" s="81"/>
      <c r="CS144" s="68"/>
      <c r="CT144" s="68"/>
      <c r="CU144" s="68"/>
    </row>
    <row r="145" spans="1:99" ht="15.75" customHeight="1" thickBot="1" x14ac:dyDescent="0.3">
      <c r="A145" s="84"/>
      <c r="B145" s="67" t="s">
        <v>128</v>
      </c>
      <c r="C145" s="83" t="s">
        <v>477</v>
      </c>
      <c r="D145" s="67" t="s">
        <v>478</v>
      </c>
      <c r="E145" s="67">
        <v>2</v>
      </c>
      <c r="F145" s="85">
        <v>1.54</v>
      </c>
      <c r="G145" s="313">
        <v>44308</v>
      </c>
      <c r="H145" s="317">
        <v>1.26</v>
      </c>
      <c r="I145" s="85">
        <v>1.73</v>
      </c>
      <c r="J145" s="313">
        <v>44313</v>
      </c>
      <c r="K145" s="186">
        <f t="shared" si="6"/>
        <v>-0.18181818181818188</v>
      </c>
      <c r="L145" s="92">
        <f t="shared" si="7"/>
        <v>0.12337662337662336</v>
      </c>
      <c r="M145" s="312">
        <v>44407</v>
      </c>
      <c r="N145" s="68"/>
      <c r="O145" s="291">
        <v>14867016</v>
      </c>
      <c r="P145" s="291">
        <v>10080000</v>
      </c>
      <c r="Q145" s="291">
        <v>5</v>
      </c>
      <c r="R145" s="68" t="s">
        <v>131</v>
      </c>
      <c r="S145" s="68" t="s">
        <v>479</v>
      </c>
      <c r="T145" s="68" t="s">
        <v>313</v>
      </c>
      <c r="U145" s="68">
        <v>96</v>
      </c>
      <c r="V145" s="68">
        <v>1024986</v>
      </c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  <c r="BG145" s="88"/>
      <c r="BH145" s="8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81"/>
      <c r="CR145" s="81"/>
      <c r="CS145" s="68"/>
      <c r="CT145" s="68"/>
      <c r="CU145" s="68"/>
    </row>
    <row r="146" spans="1:99" ht="15.75" customHeight="1" thickBot="1" x14ac:dyDescent="0.3">
      <c r="A146" s="84"/>
      <c r="B146" s="67" t="s">
        <v>128</v>
      </c>
      <c r="C146" s="83" t="s">
        <v>480</v>
      </c>
      <c r="D146" s="67" t="s">
        <v>481</v>
      </c>
      <c r="E146" s="67">
        <v>3</v>
      </c>
      <c r="F146" s="85">
        <v>1.1499999999999999</v>
      </c>
      <c r="G146" s="313">
        <v>44306</v>
      </c>
      <c r="H146" s="317">
        <v>1.08</v>
      </c>
      <c r="I146" s="317">
        <v>1.4</v>
      </c>
      <c r="J146" s="313">
        <v>44378</v>
      </c>
      <c r="K146" s="105">
        <f t="shared" si="6"/>
        <v>-6.0869565217391175E-2</v>
      </c>
      <c r="L146" s="187">
        <f t="shared" si="7"/>
        <v>0.21739130434782616</v>
      </c>
      <c r="M146" s="312">
        <v>44407</v>
      </c>
      <c r="N146" s="68"/>
      <c r="O146" s="291">
        <v>49487492</v>
      </c>
      <c r="P146" s="291">
        <v>41050000</v>
      </c>
      <c r="Q146" s="291">
        <v>72</v>
      </c>
      <c r="R146" s="68" t="s">
        <v>131</v>
      </c>
      <c r="S146" s="68" t="s">
        <v>157</v>
      </c>
      <c r="T146" s="68" t="s">
        <v>304</v>
      </c>
      <c r="U146" s="68">
        <v>300</v>
      </c>
      <c r="V146" s="68">
        <v>2863042</v>
      </c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  <c r="BG146" s="88"/>
      <c r="BH146" s="8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81"/>
      <c r="CR146" s="81"/>
      <c r="CS146" s="68"/>
      <c r="CT146" s="68"/>
      <c r="CU146" s="68"/>
    </row>
    <row r="147" spans="1:99" ht="15.75" customHeight="1" thickBot="1" x14ac:dyDescent="0.3">
      <c r="A147" s="84"/>
      <c r="B147" s="67" t="s">
        <v>128</v>
      </c>
      <c r="C147" s="83" t="s">
        <v>482</v>
      </c>
      <c r="D147" s="67" t="s">
        <v>483</v>
      </c>
      <c r="E147" s="67">
        <v>2</v>
      </c>
      <c r="F147" s="85">
        <v>0.86</v>
      </c>
      <c r="G147" s="313">
        <v>44306</v>
      </c>
      <c r="H147" s="317">
        <v>0.87619999999999998</v>
      </c>
      <c r="I147" s="85">
        <v>1.21</v>
      </c>
      <c r="J147" s="313">
        <v>44370</v>
      </c>
      <c r="K147" s="132">
        <f t="shared" si="6"/>
        <v>1.8837209302325464E-2</v>
      </c>
      <c r="L147" s="96">
        <f t="shared" si="7"/>
        <v>0.40697674418604657</v>
      </c>
      <c r="M147" s="312">
        <v>44407</v>
      </c>
      <c r="N147" s="68"/>
      <c r="O147" s="291">
        <v>89531146</v>
      </c>
      <c r="P147" s="291">
        <v>82540000</v>
      </c>
      <c r="Q147" s="291">
        <v>64</v>
      </c>
      <c r="R147" s="68" t="s">
        <v>131</v>
      </c>
      <c r="S147" s="68" t="s">
        <v>157</v>
      </c>
      <c r="T147" s="68" t="s">
        <v>154</v>
      </c>
      <c r="U147" s="68">
        <v>368</v>
      </c>
      <c r="V147" s="68">
        <v>3312560</v>
      </c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  <c r="BG147" s="88"/>
      <c r="BH147" s="8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81"/>
      <c r="CR147" s="81"/>
      <c r="CS147" s="68"/>
      <c r="CT147" s="68"/>
      <c r="CU147" s="68"/>
    </row>
    <row r="148" spans="1:99" ht="15.75" customHeight="1" thickBot="1" x14ac:dyDescent="0.3">
      <c r="A148" s="84"/>
      <c r="B148" s="67" t="s">
        <v>128</v>
      </c>
      <c r="C148" s="83" t="s">
        <v>484</v>
      </c>
      <c r="D148" s="67" t="s">
        <v>485</v>
      </c>
      <c r="E148" s="67">
        <v>1</v>
      </c>
      <c r="F148" s="85">
        <v>4</v>
      </c>
      <c r="G148" s="313">
        <v>44294</v>
      </c>
      <c r="H148" s="317">
        <v>2.75</v>
      </c>
      <c r="I148" s="85">
        <v>4.49</v>
      </c>
      <c r="J148" s="313">
        <v>44356</v>
      </c>
      <c r="K148" s="125">
        <f t="shared" si="6"/>
        <v>-0.3125</v>
      </c>
      <c r="L148" s="92">
        <f t="shared" si="7"/>
        <v>0.12250000000000005</v>
      </c>
      <c r="M148" s="312">
        <v>44407</v>
      </c>
      <c r="N148" s="68"/>
      <c r="O148" s="291">
        <v>16655732</v>
      </c>
      <c r="P148" s="291">
        <v>200000</v>
      </c>
      <c r="Q148" s="291">
        <v>62</v>
      </c>
      <c r="R148" s="68" t="s">
        <v>152</v>
      </c>
      <c r="S148" s="68" t="s">
        <v>148</v>
      </c>
      <c r="T148" s="67" t="s">
        <v>408</v>
      </c>
      <c r="U148" s="68">
        <v>72</v>
      </c>
      <c r="V148" s="68">
        <v>11474</v>
      </c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88"/>
      <c r="AV148" s="88"/>
      <c r="AW148" s="88"/>
      <c r="AX148" s="88"/>
      <c r="AY148" s="88"/>
      <c r="AZ148" s="88"/>
      <c r="BA148" s="88"/>
      <c r="BB148" s="88"/>
      <c r="BC148" s="88"/>
      <c r="BD148" s="88"/>
      <c r="BE148" s="88"/>
      <c r="BF148" s="88"/>
      <c r="BG148" s="88"/>
      <c r="BH148" s="8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81"/>
      <c r="CR148" s="81"/>
      <c r="CS148" s="68"/>
      <c r="CT148" s="68"/>
      <c r="CU148" s="68"/>
    </row>
    <row r="149" spans="1:99" ht="15.75" customHeight="1" thickBot="1" x14ac:dyDescent="0.3">
      <c r="A149" s="84" t="s">
        <v>194</v>
      </c>
      <c r="B149" s="67" t="s">
        <v>128</v>
      </c>
      <c r="C149" s="83" t="s">
        <v>486</v>
      </c>
      <c r="D149" s="67" t="s">
        <v>487</v>
      </c>
      <c r="E149" s="67">
        <v>1</v>
      </c>
      <c r="F149" s="85">
        <v>5.0999999999999996</v>
      </c>
      <c r="G149" s="313">
        <v>44293</v>
      </c>
      <c r="H149" s="317">
        <v>3.7465999999999999</v>
      </c>
      <c r="I149" s="85">
        <v>5.88</v>
      </c>
      <c r="J149" s="313">
        <v>44357</v>
      </c>
      <c r="K149" s="125">
        <f t="shared" si="6"/>
        <v>-0.26537254901960783</v>
      </c>
      <c r="L149" s="157">
        <f t="shared" si="7"/>
        <v>0.15294117647058836</v>
      </c>
      <c r="M149" s="312">
        <v>44407</v>
      </c>
      <c r="N149" s="68"/>
      <c r="O149" s="291">
        <v>11507558</v>
      </c>
      <c r="P149" s="291">
        <v>3770000</v>
      </c>
      <c r="Q149" s="291">
        <v>64</v>
      </c>
      <c r="R149" s="68" t="s">
        <v>152</v>
      </c>
      <c r="S149" s="68" t="s">
        <v>281</v>
      </c>
      <c r="T149" s="68" t="s">
        <v>488</v>
      </c>
      <c r="U149" s="68">
        <v>24</v>
      </c>
      <c r="V149" s="68">
        <v>32916</v>
      </c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88"/>
      <c r="BF149" s="88"/>
      <c r="BG149" s="88"/>
      <c r="BH149" s="8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81"/>
      <c r="CR149" s="81"/>
      <c r="CS149" s="68"/>
      <c r="CT149" s="68"/>
      <c r="CU149" s="68"/>
    </row>
    <row r="150" spans="1:99" ht="15.75" customHeight="1" thickBot="1" x14ac:dyDescent="0.3">
      <c r="A150" s="84" t="s">
        <v>194</v>
      </c>
      <c r="B150" s="67" t="s">
        <v>128</v>
      </c>
      <c r="C150" s="83" t="s">
        <v>489</v>
      </c>
      <c r="D150" s="67" t="s">
        <v>490</v>
      </c>
      <c r="E150" s="67">
        <v>2</v>
      </c>
      <c r="F150" s="85">
        <v>1.86</v>
      </c>
      <c r="G150" s="313">
        <v>44293</v>
      </c>
      <c r="H150" s="317">
        <v>1.55</v>
      </c>
      <c r="I150" s="85">
        <v>2</v>
      </c>
      <c r="J150" s="313">
        <v>44295</v>
      </c>
      <c r="K150" s="125">
        <f t="shared" si="6"/>
        <v>-0.16666666666666674</v>
      </c>
      <c r="L150" s="94">
        <f t="shared" si="7"/>
        <v>7.5268817204301008E-2</v>
      </c>
      <c r="M150" s="312">
        <v>44407</v>
      </c>
      <c r="N150" s="68"/>
      <c r="O150" s="291">
        <v>17486183</v>
      </c>
      <c r="P150" s="291">
        <v>5430000</v>
      </c>
      <c r="Q150" s="291">
        <v>2</v>
      </c>
      <c r="R150" s="68" t="s">
        <v>152</v>
      </c>
      <c r="S150" s="68" t="s">
        <v>281</v>
      </c>
      <c r="T150" s="68" t="s">
        <v>297</v>
      </c>
      <c r="U150" s="68">
        <v>36</v>
      </c>
      <c r="V150" s="68">
        <v>191385</v>
      </c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  <c r="BG150" s="88"/>
      <c r="BH150" s="8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81"/>
      <c r="CR150" s="81"/>
      <c r="CS150" s="68"/>
      <c r="CT150" s="68"/>
      <c r="CU150" s="68"/>
    </row>
    <row r="151" spans="1:99" ht="15.75" customHeight="1" thickBot="1" x14ac:dyDescent="0.3">
      <c r="A151" s="84"/>
      <c r="B151" s="67" t="s">
        <v>128</v>
      </c>
      <c r="C151" s="83" t="s">
        <v>491</v>
      </c>
      <c r="D151" s="67" t="s">
        <v>492</v>
      </c>
      <c r="E151" s="67">
        <v>2</v>
      </c>
      <c r="F151" s="85">
        <v>1.65</v>
      </c>
      <c r="G151" s="313">
        <v>44292</v>
      </c>
      <c r="H151" s="317">
        <v>1.37</v>
      </c>
      <c r="I151" s="317">
        <v>1.8501000000000001</v>
      </c>
      <c r="J151" s="313">
        <v>44386</v>
      </c>
      <c r="K151" s="188">
        <f t="shared" si="6"/>
        <v>-0.16969696969696957</v>
      </c>
      <c r="L151" s="114">
        <f t="shared" si="7"/>
        <v>0.12127272727272742</v>
      </c>
      <c r="M151" s="312">
        <v>44407</v>
      </c>
      <c r="N151" s="68"/>
      <c r="O151" s="291">
        <v>28348684</v>
      </c>
      <c r="P151" s="291">
        <v>22340000</v>
      </c>
      <c r="Q151" s="291">
        <v>94</v>
      </c>
      <c r="R151" s="68" t="s">
        <v>131</v>
      </c>
      <c r="S151" s="68" t="s">
        <v>493</v>
      </c>
      <c r="T151" s="67" t="s">
        <v>494</v>
      </c>
      <c r="U151" s="68">
        <v>84</v>
      </c>
      <c r="V151" s="68">
        <v>4585462</v>
      </c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  <c r="BG151" s="88"/>
      <c r="BH151" s="8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81"/>
      <c r="CR151" s="81"/>
      <c r="CS151" s="68"/>
      <c r="CT151" s="68"/>
      <c r="CU151" s="68"/>
    </row>
    <row r="152" spans="1:99" ht="15.75" customHeight="1" thickBot="1" x14ac:dyDescent="0.3">
      <c r="A152" s="84"/>
      <c r="B152" s="67" t="s">
        <v>128</v>
      </c>
      <c r="C152" s="83" t="s">
        <v>495</v>
      </c>
      <c r="D152" s="67" t="s">
        <v>496</v>
      </c>
      <c r="E152" s="67">
        <v>2</v>
      </c>
      <c r="F152" s="85">
        <v>1.5</v>
      </c>
      <c r="G152" s="313">
        <v>44287</v>
      </c>
      <c r="H152" s="317">
        <v>1.35</v>
      </c>
      <c r="I152" s="317">
        <v>1.68</v>
      </c>
      <c r="J152" s="313">
        <v>44407</v>
      </c>
      <c r="K152" s="189">
        <f t="shared" si="6"/>
        <v>-9.9999999999999978E-2</v>
      </c>
      <c r="L152" s="115">
        <f t="shared" si="7"/>
        <v>0.11999999999999988</v>
      </c>
      <c r="M152" s="312">
        <v>44407</v>
      </c>
      <c r="N152" s="68"/>
      <c r="O152" s="291">
        <v>36273437</v>
      </c>
      <c r="P152" s="291">
        <v>9820000</v>
      </c>
      <c r="Q152" s="291">
        <v>120</v>
      </c>
      <c r="R152" s="68" t="s">
        <v>131</v>
      </c>
      <c r="S152" s="68" t="s">
        <v>192</v>
      </c>
      <c r="T152" s="68" t="s">
        <v>497</v>
      </c>
      <c r="U152" s="68">
        <v>48</v>
      </c>
      <c r="V152" s="68">
        <v>1204405</v>
      </c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  <c r="BG152" s="88"/>
      <c r="BH152" s="8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81"/>
      <c r="CR152" s="81"/>
      <c r="CS152" s="68"/>
      <c r="CT152" s="68"/>
      <c r="CU152" s="68"/>
    </row>
    <row r="153" spans="1:99" ht="15.75" customHeight="1" thickBot="1" x14ac:dyDescent="0.3">
      <c r="A153" s="84"/>
      <c r="B153" s="67" t="s">
        <v>128</v>
      </c>
      <c r="C153" s="83" t="s">
        <v>498</v>
      </c>
      <c r="D153" s="67" t="s">
        <v>499</v>
      </c>
      <c r="E153" s="67">
        <v>2</v>
      </c>
      <c r="F153" s="85">
        <v>2.4300000000000002</v>
      </c>
      <c r="G153" s="313">
        <v>44284</v>
      </c>
      <c r="H153" s="317">
        <v>1.73</v>
      </c>
      <c r="I153" s="85">
        <v>3.19</v>
      </c>
      <c r="J153" s="313">
        <v>44305</v>
      </c>
      <c r="K153" s="190">
        <f t="shared" si="6"/>
        <v>-0.2880658436213992</v>
      </c>
      <c r="L153" s="122">
        <f t="shared" si="7"/>
        <v>0.31275720164609044</v>
      </c>
      <c r="M153" s="312">
        <v>44407</v>
      </c>
      <c r="N153" s="68"/>
      <c r="O153" s="291">
        <v>20869463</v>
      </c>
      <c r="P153" s="291">
        <v>2350000</v>
      </c>
      <c r="Q153" s="291">
        <v>21</v>
      </c>
      <c r="R153" s="68" t="s">
        <v>152</v>
      </c>
      <c r="S153" s="68" t="s">
        <v>132</v>
      </c>
      <c r="T153" s="67" t="s">
        <v>214</v>
      </c>
      <c r="U153" s="68">
        <v>564</v>
      </c>
      <c r="V153" s="68">
        <v>782248</v>
      </c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88"/>
      <c r="AV153" s="88"/>
      <c r="AW153" s="88"/>
      <c r="AX153" s="88"/>
      <c r="AY153" s="88"/>
      <c r="AZ153" s="88"/>
      <c r="BA153" s="88"/>
      <c r="BB153" s="88"/>
      <c r="BC153" s="88"/>
      <c r="BD153" s="88"/>
      <c r="BE153" s="88"/>
      <c r="BF153" s="88"/>
      <c r="BG153" s="88"/>
      <c r="BH153" s="8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81"/>
      <c r="CR153" s="81"/>
      <c r="CS153" s="68"/>
      <c r="CT153" s="68"/>
      <c r="CU153" s="68"/>
    </row>
    <row r="154" spans="1:99" ht="15.75" customHeight="1" thickBot="1" x14ac:dyDescent="0.3">
      <c r="A154" s="84" t="s">
        <v>194</v>
      </c>
      <c r="B154" s="67" t="s">
        <v>128</v>
      </c>
      <c r="C154" s="83" t="s">
        <v>498</v>
      </c>
      <c r="D154" s="67" t="s">
        <v>500</v>
      </c>
      <c r="E154" s="67">
        <v>2</v>
      </c>
      <c r="F154" s="85">
        <v>6.6</v>
      </c>
      <c r="G154" s="313">
        <v>44284</v>
      </c>
      <c r="H154" s="317">
        <v>4.3899999999999997</v>
      </c>
      <c r="I154" s="317">
        <v>7.81</v>
      </c>
      <c r="J154" s="313">
        <v>44385</v>
      </c>
      <c r="K154" s="149">
        <f t="shared" si="6"/>
        <v>-0.33484848484848484</v>
      </c>
      <c r="L154" s="149">
        <f t="shared" si="7"/>
        <v>0.18333333333333335</v>
      </c>
      <c r="M154" s="312">
        <v>44407</v>
      </c>
      <c r="N154" s="68"/>
      <c r="O154" s="291">
        <v>5414296</v>
      </c>
      <c r="P154" s="291">
        <v>4980000</v>
      </c>
      <c r="Q154" s="291">
        <v>101</v>
      </c>
      <c r="R154" s="68" t="s">
        <v>131</v>
      </c>
      <c r="S154" s="68" t="s">
        <v>281</v>
      </c>
      <c r="T154" s="68" t="s">
        <v>297</v>
      </c>
      <c r="U154" s="68">
        <v>368</v>
      </c>
      <c r="V154" s="68">
        <v>238900.2</v>
      </c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  <c r="BG154" s="88"/>
      <c r="BH154" s="8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81"/>
      <c r="CR154" s="81"/>
      <c r="CS154" s="68"/>
      <c r="CT154" s="68"/>
      <c r="CU154" s="68"/>
    </row>
    <row r="155" spans="1:99" ht="15.75" customHeight="1" thickBot="1" x14ac:dyDescent="0.3">
      <c r="A155" s="84"/>
      <c r="B155" s="67" t="s">
        <v>128</v>
      </c>
      <c r="C155" s="83" t="s">
        <v>498</v>
      </c>
      <c r="D155" s="67" t="s">
        <v>277</v>
      </c>
      <c r="E155" s="67">
        <v>2</v>
      </c>
      <c r="F155" s="85">
        <v>3.53</v>
      </c>
      <c r="G155" s="313">
        <v>44284</v>
      </c>
      <c r="H155" s="317">
        <v>3.2</v>
      </c>
      <c r="I155" s="85">
        <v>4.28</v>
      </c>
      <c r="J155" s="313">
        <v>44365</v>
      </c>
      <c r="K155" s="126">
        <f t="shared" si="6"/>
        <v>-9.3484419263455965E-2</v>
      </c>
      <c r="L155" s="191">
        <f t="shared" si="7"/>
        <v>0.21246458923512757</v>
      </c>
      <c r="M155" s="312">
        <v>44407</v>
      </c>
      <c r="N155" s="68"/>
      <c r="O155" s="291">
        <v>7820455</v>
      </c>
      <c r="P155" s="291">
        <v>7170000</v>
      </c>
      <c r="Q155" s="291">
        <v>81</v>
      </c>
      <c r="R155" s="68" t="s">
        <v>131</v>
      </c>
      <c r="S155" s="68" t="s">
        <v>135</v>
      </c>
      <c r="T155" s="67" t="s">
        <v>278</v>
      </c>
      <c r="U155" s="68">
        <v>336</v>
      </c>
      <c r="V155" s="68">
        <v>279290</v>
      </c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88"/>
      <c r="AV155" s="88"/>
      <c r="AW155" s="88"/>
      <c r="AX155" s="88"/>
      <c r="AY155" s="88"/>
      <c r="AZ155" s="88"/>
      <c r="BA155" s="88"/>
      <c r="BB155" s="88"/>
      <c r="BC155" s="88"/>
      <c r="BD155" s="88"/>
      <c r="BE155" s="88"/>
      <c r="BF155" s="88"/>
      <c r="BG155" s="88"/>
      <c r="BH155" s="8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81"/>
      <c r="CR155" s="81"/>
      <c r="CS155" s="68"/>
      <c r="CT155" s="68"/>
      <c r="CU155" s="68"/>
    </row>
    <row r="156" spans="1:99" ht="15.75" customHeight="1" thickBot="1" x14ac:dyDescent="0.3">
      <c r="A156" s="84" t="s">
        <v>194</v>
      </c>
      <c r="B156" s="67" t="s">
        <v>128</v>
      </c>
      <c r="C156" s="83" t="s">
        <v>498</v>
      </c>
      <c r="D156" s="67" t="s">
        <v>501</v>
      </c>
      <c r="E156" s="67">
        <v>1</v>
      </c>
      <c r="F156" s="85">
        <v>2.71</v>
      </c>
      <c r="G156" s="313">
        <v>44284</v>
      </c>
      <c r="H156" s="317">
        <v>1.82</v>
      </c>
      <c r="I156" s="85">
        <v>4.0999999999999996</v>
      </c>
      <c r="J156" s="313">
        <v>44316</v>
      </c>
      <c r="K156" s="194">
        <f t="shared" si="6"/>
        <v>-0.32841328413284132</v>
      </c>
      <c r="L156" s="124">
        <f t="shared" si="7"/>
        <v>0.51291512915129145</v>
      </c>
      <c r="M156" s="312">
        <v>44407</v>
      </c>
      <c r="N156" s="68"/>
      <c r="O156" s="291">
        <v>20914646</v>
      </c>
      <c r="P156" s="291">
        <v>7670000</v>
      </c>
      <c r="Q156" s="291">
        <v>32</v>
      </c>
      <c r="R156" s="68" t="s">
        <v>131</v>
      </c>
      <c r="S156" s="68" t="s">
        <v>157</v>
      </c>
      <c r="T156" s="67" t="s">
        <v>197</v>
      </c>
      <c r="U156" s="68">
        <v>2004</v>
      </c>
      <c r="V156" s="68">
        <v>802222</v>
      </c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  <c r="BG156" s="88"/>
      <c r="BH156" s="8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81"/>
      <c r="CR156" s="81"/>
      <c r="CS156" s="68"/>
      <c r="CT156" s="68"/>
      <c r="CU156" s="68"/>
    </row>
    <row r="157" spans="1:99" ht="15.75" customHeight="1" thickBot="1" x14ac:dyDescent="0.3">
      <c r="A157" s="84"/>
      <c r="B157" s="67" t="s">
        <v>128</v>
      </c>
      <c r="C157" s="83" t="s">
        <v>498</v>
      </c>
      <c r="D157" s="67" t="s">
        <v>502</v>
      </c>
      <c r="E157" s="67">
        <v>2</v>
      </c>
      <c r="F157" s="85">
        <v>1.84</v>
      </c>
      <c r="G157" s="313">
        <v>44284</v>
      </c>
      <c r="H157" s="317">
        <v>8.2799999999999994</v>
      </c>
      <c r="I157" s="317">
        <v>27.26</v>
      </c>
      <c r="J157" s="313">
        <v>44383</v>
      </c>
      <c r="K157" s="193">
        <f t="shared" si="6"/>
        <v>3.4999999999999991</v>
      </c>
      <c r="L157" s="169">
        <f t="shared" si="7"/>
        <v>13.815217391304348</v>
      </c>
      <c r="M157" s="312">
        <v>44407</v>
      </c>
      <c r="N157" s="68"/>
      <c r="O157" s="291">
        <v>10967328</v>
      </c>
      <c r="P157" s="291">
        <v>9860000</v>
      </c>
      <c r="Q157" s="291">
        <v>99</v>
      </c>
      <c r="R157" s="68" t="s">
        <v>131</v>
      </c>
      <c r="S157" s="68" t="s">
        <v>135</v>
      </c>
      <c r="T157" s="68" t="s">
        <v>133</v>
      </c>
      <c r="U157" s="68">
        <v>68</v>
      </c>
      <c r="V157" s="68">
        <v>108077</v>
      </c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88"/>
      <c r="AV157" s="88"/>
      <c r="AW157" s="88"/>
      <c r="AX157" s="88"/>
      <c r="AY157" s="88"/>
      <c r="AZ157" s="88"/>
      <c r="BA157" s="88"/>
      <c r="BB157" s="88"/>
      <c r="BC157" s="88"/>
      <c r="BD157" s="88"/>
      <c r="BE157" s="88"/>
      <c r="BF157" s="88"/>
      <c r="BG157" s="88"/>
      <c r="BH157" s="8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81"/>
      <c r="CR157" s="81"/>
      <c r="CS157" s="68"/>
      <c r="CT157" s="68"/>
      <c r="CU157" s="68"/>
    </row>
    <row r="158" spans="1:99" ht="15.75" customHeight="1" thickBot="1" x14ac:dyDescent="0.3">
      <c r="A158" s="84"/>
      <c r="B158" s="67" t="s">
        <v>128</v>
      </c>
      <c r="C158" s="83" t="s">
        <v>498</v>
      </c>
      <c r="D158" s="67" t="s">
        <v>503</v>
      </c>
      <c r="E158" s="67">
        <v>1</v>
      </c>
      <c r="F158" s="85">
        <v>2.48</v>
      </c>
      <c r="G158" s="313">
        <v>44284</v>
      </c>
      <c r="H158" s="317">
        <v>2.5</v>
      </c>
      <c r="I158" s="317">
        <v>3.63</v>
      </c>
      <c r="J158" s="313">
        <v>44396</v>
      </c>
      <c r="K158" s="187">
        <f t="shared" si="6"/>
        <v>8.0645161290322509E-3</v>
      </c>
      <c r="L158" s="153">
        <f t="shared" si="7"/>
        <v>0.46370967741935476</v>
      </c>
      <c r="M158" s="312">
        <v>44407</v>
      </c>
      <c r="N158" s="68"/>
      <c r="O158" s="291">
        <v>54949995</v>
      </c>
      <c r="P158" s="291">
        <v>10070000</v>
      </c>
      <c r="Q158" s="291">
        <v>112</v>
      </c>
      <c r="R158" s="68" t="s">
        <v>152</v>
      </c>
      <c r="S158" s="68" t="s">
        <v>148</v>
      </c>
      <c r="T158" s="68" t="s">
        <v>504</v>
      </c>
      <c r="U158" s="68">
        <v>40</v>
      </c>
      <c r="V158" s="68">
        <v>76923</v>
      </c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88"/>
      <c r="AV158" s="88"/>
      <c r="AW158" s="88"/>
      <c r="AX158" s="88"/>
      <c r="AY158" s="88"/>
      <c r="AZ158" s="88"/>
      <c r="BA158" s="88"/>
      <c r="BB158" s="88"/>
      <c r="BC158" s="88"/>
      <c r="BD158" s="88"/>
      <c r="BE158" s="88"/>
      <c r="BF158" s="88"/>
      <c r="BG158" s="88"/>
      <c r="BH158" s="8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81"/>
      <c r="CR158" s="81"/>
      <c r="CS158" s="68"/>
      <c r="CT158" s="68"/>
      <c r="CU158" s="68"/>
    </row>
    <row r="159" spans="1:99" ht="15.75" customHeight="1" thickBot="1" x14ac:dyDescent="0.3">
      <c r="A159" s="84"/>
      <c r="B159" s="67" t="s">
        <v>128</v>
      </c>
      <c r="C159" s="83" t="s">
        <v>498</v>
      </c>
      <c r="D159" s="67" t="s">
        <v>505</v>
      </c>
      <c r="E159" s="67">
        <v>1</v>
      </c>
      <c r="F159" s="85">
        <v>4.05</v>
      </c>
      <c r="G159" s="313">
        <v>44284</v>
      </c>
      <c r="H159" s="317">
        <v>2.39</v>
      </c>
      <c r="I159" s="85">
        <v>4.13</v>
      </c>
      <c r="J159" s="313">
        <v>44287</v>
      </c>
      <c r="K159" s="125">
        <f t="shared" si="6"/>
        <v>-0.40987654320987643</v>
      </c>
      <c r="L159" s="87">
        <f t="shared" si="7"/>
        <v>1.9753086419753041E-2</v>
      </c>
      <c r="M159" s="312">
        <v>44407</v>
      </c>
      <c r="N159" s="68"/>
      <c r="O159" s="291">
        <v>16559481</v>
      </c>
      <c r="P159" s="291">
        <v>11230000</v>
      </c>
      <c r="Q159" s="291">
        <v>3</v>
      </c>
      <c r="R159" s="68" t="s">
        <v>506</v>
      </c>
      <c r="S159" s="68" t="s">
        <v>473</v>
      </c>
      <c r="T159" s="68" t="s">
        <v>221</v>
      </c>
      <c r="U159" s="68">
        <v>40</v>
      </c>
      <c r="V159" s="68">
        <v>107213</v>
      </c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88"/>
      <c r="AV159" s="88"/>
      <c r="AW159" s="88"/>
      <c r="AX159" s="88"/>
      <c r="AY159" s="88"/>
      <c r="AZ159" s="88"/>
      <c r="BA159" s="88"/>
      <c r="BB159" s="88"/>
      <c r="BC159" s="88"/>
      <c r="BD159" s="88"/>
      <c r="BE159" s="88"/>
      <c r="BF159" s="88"/>
      <c r="BG159" s="88"/>
      <c r="BH159" s="8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81"/>
      <c r="CR159" s="81"/>
      <c r="CS159" s="68"/>
      <c r="CT159" s="68"/>
      <c r="CU159" s="68"/>
    </row>
    <row r="160" spans="1:99" ht="15.75" customHeight="1" thickBot="1" x14ac:dyDescent="0.3">
      <c r="A160" s="84" t="s">
        <v>194</v>
      </c>
      <c r="B160" s="67" t="s">
        <v>128</v>
      </c>
      <c r="C160" s="83" t="s">
        <v>498</v>
      </c>
      <c r="D160" s="67" t="s">
        <v>507</v>
      </c>
      <c r="E160" s="67">
        <v>1</v>
      </c>
      <c r="F160" s="85">
        <v>3.82</v>
      </c>
      <c r="G160" s="313">
        <v>44284</v>
      </c>
      <c r="H160" s="317">
        <v>3.05</v>
      </c>
      <c r="I160" s="85">
        <v>3.82</v>
      </c>
      <c r="J160" s="67"/>
      <c r="K160" s="125">
        <f t="shared" si="6"/>
        <v>-0.20157068062827221</v>
      </c>
      <c r="L160" s="100">
        <f t="shared" si="7"/>
        <v>0</v>
      </c>
      <c r="M160" s="312">
        <v>44407</v>
      </c>
      <c r="N160" s="68"/>
      <c r="O160" s="291">
        <v>17820390</v>
      </c>
      <c r="P160" s="291">
        <v>11500000</v>
      </c>
      <c r="Q160" s="291"/>
      <c r="R160" s="68" t="s">
        <v>131</v>
      </c>
      <c r="S160" s="68" t="s">
        <v>148</v>
      </c>
      <c r="T160" s="68" t="s">
        <v>504</v>
      </c>
      <c r="U160" s="68">
        <v>92</v>
      </c>
      <c r="V160" s="68">
        <v>477218</v>
      </c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  <c r="BG160" s="88"/>
      <c r="BH160" s="8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81"/>
      <c r="CR160" s="81"/>
      <c r="CS160" s="68"/>
      <c r="CT160" s="68"/>
      <c r="CU160" s="68"/>
    </row>
    <row r="161" spans="1:99" ht="15.75" customHeight="1" thickBot="1" x14ac:dyDescent="0.3">
      <c r="A161" s="84"/>
      <c r="B161" s="67" t="s">
        <v>128</v>
      </c>
      <c r="C161" s="83" t="s">
        <v>498</v>
      </c>
      <c r="D161" s="67" t="s">
        <v>508</v>
      </c>
      <c r="E161" s="67">
        <v>1</v>
      </c>
      <c r="F161" s="85">
        <v>1.1000000000000001</v>
      </c>
      <c r="G161" s="313">
        <v>44284</v>
      </c>
      <c r="H161" s="317">
        <v>0.82020000000000004</v>
      </c>
      <c r="I161" s="85">
        <v>1.1599999999999999</v>
      </c>
      <c r="J161" s="313">
        <v>44291</v>
      </c>
      <c r="K161" s="192">
        <f t="shared" si="6"/>
        <v>-0.25436363636363635</v>
      </c>
      <c r="L161" s="93">
        <f t="shared" si="7"/>
        <v>5.4545454545454453E-2</v>
      </c>
      <c r="M161" s="312">
        <v>44407</v>
      </c>
      <c r="N161" s="68"/>
      <c r="O161" s="291">
        <v>41751790</v>
      </c>
      <c r="P161" s="291">
        <v>32320000</v>
      </c>
      <c r="Q161" s="291">
        <v>7</v>
      </c>
      <c r="R161" s="68" t="s">
        <v>152</v>
      </c>
      <c r="S161" s="68" t="s">
        <v>192</v>
      </c>
      <c r="T161" s="68" t="s">
        <v>266</v>
      </c>
      <c r="U161" s="68">
        <v>116</v>
      </c>
      <c r="V161" s="68">
        <v>1701285</v>
      </c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88"/>
      <c r="AV161" s="88"/>
      <c r="AW161" s="88"/>
      <c r="AX161" s="88"/>
      <c r="AY161" s="88"/>
      <c r="AZ161" s="88"/>
      <c r="BA161" s="88"/>
      <c r="BB161" s="88"/>
      <c r="BC161" s="88"/>
      <c r="BD161" s="88"/>
      <c r="BE161" s="88"/>
      <c r="BF161" s="88"/>
      <c r="BG161" s="88"/>
      <c r="BH161" s="8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81"/>
      <c r="CR161" s="81"/>
      <c r="CS161" s="68"/>
      <c r="CT161" s="68"/>
      <c r="CU161" s="68"/>
    </row>
    <row r="162" spans="1:99" ht="15.75" customHeight="1" thickBot="1" x14ac:dyDescent="0.3">
      <c r="A162" s="84"/>
      <c r="B162" s="67" t="s">
        <v>128</v>
      </c>
      <c r="C162" s="83" t="s">
        <v>498</v>
      </c>
      <c r="D162" s="67" t="s">
        <v>509</v>
      </c>
      <c r="E162" s="67">
        <v>1</v>
      </c>
      <c r="F162" s="85">
        <v>3.02</v>
      </c>
      <c r="G162" s="313">
        <v>44284</v>
      </c>
      <c r="H162" s="317">
        <v>1.98</v>
      </c>
      <c r="I162" s="85">
        <v>3.85</v>
      </c>
      <c r="J162" s="313">
        <v>44319</v>
      </c>
      <c r="K162" s="195">
        <f t="shared" si="6"/>
        <v>-0.3443708609271523</v>
      </c>
      <c r="L162" s="178">
        <f t="shared" si="7"/>
        <v>0.27483443708609268</v>
      </c>
      <c r="M162" s="312">
        <v>44407</v>
      </c>
      <c r="N162" s="68"/>
      <c r="O162" s="291">
        <v>48912726</v>
      </c>
      <c r="P162" s="291">
        <v>41770000</v>
      </c>
      <c r="Q162" s="291">
        <v>35</v>
      </c>
      <c r="R162" s="68" t="s">
        <v>152</v>
      </c>
      <c r="S162" s="68" t="s">
        <v>132</v>
      </c>
      <c r="T162" s="67" t="s">
        <v>214</v>
      </c>
      <c r="U162" s="68">
        <v>132</v>
      </c>
      <c r="V162" s="68">
        <v>474836</v>
      </c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  <c r="BG162" s="88"/>
      <c r="BH162" s="8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81"/>
      <c r="CR162" s="81"/>
      <c r="CS162" s="68"/>
      <c r="CT162" s="68"/>
      <c r="CU162" s="68"/>
    </row>
    <row r="163" spans="1:99" ht="15.75" customHeight="1" thickBot="1" x14ac:dyDescent="0.3">
      <c r="A163" s="84"/>
      <c r="B163" s="67" t="s">
        <v>128</v>
      </c>
      <c r="C163" s="83" t="s">
        <v>498</v>
      </c>
      <c r="D163" s="67" t="s">
        <v>465</v>
      </c>
      <c r="E163" s="67">
        <v>2</v>
      </c>
      <c r="F163" s="85">
        <v>2.2599999999999998</v>
      </c>
      <c r="G163" s="313">
        <v>44284</v>
      </c>
      <c r="H163" s="317">
        <v>0.50990000000000002</v>
      </c>
      <c r="I163" s="85">
        <v>2.52</v>
      </c>
      <c r="J163" s="313">
        <v>44293</v>
      </c>
      <c r="K163" s="125">
        <f t="shared" si="6"/>
        <v>-0.77438053097345128</v>
      </c>
      <c r="L163" s="91">
        <f t="shared" si="7"/>
        <v>0.1150442477876108</v>
      </c>
      <c r="M163" s="312">
        <v>44407</v>
      </c>
      <c r="N163" s="68"/>
      <c r="O163" s="291">
        <v>104325637</v>
      </c>
      <c r="P163" s="291">
        <v>42610000</v>
      </c>
      <c r="Q163" s="291">
        <v>9</v>
      </c>
      <c r="R163" s="68" t="s">
        <v>152</v>
      </c>
      <c r="S163" s="68" t="s">
        <v>132</v>
      </c>
      <c r="T163" s="67" t="s">
        <v>214</v>
      </c>
      <c r="U163" s="68">
        <v>552</v>
      </c>
      <c r="V163" s="68">
        <v>1137505</v>
      </c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  <c r="BG163" s="88"/>
      <c r="BH163" s="8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81"/>
      <c r="CR163" s="81"/>
      <c r="CS163" s="68"/>
      <c r="CT163" s="68"/>
      <c r="CU163" s="68"/>
    </row>
    <row r="164" spans="1:99" ht="15.75" customHeight="1" thickBot="1" x14ac:dyDescent="0.3">
      <c r="A164" s="84" t="s">
        <v>194</v>
      </c>
      <c r="B164" s="67" t="s">
        <v>128</v>
      </c>
      <c r="C164" s="83" t="s">
        <v>498</v>
      </c>
      <c r="D164" s="67" t="s">
        <v>510</v>
      </c>
      <c r="E164" s="67">
        <v>1</v>
      </c>
      <c r="F164" s="85">
        <v>3.01</v>
      </c>
      <c r="G164" s="313">
        <v>44284</v>
      </c>
      <c r="H164" s="317">
        <v>1.23</v>
      </c>
      <c r="I164" s="85">
        <v>3.29</v>
      </c>
      <c r="J164" s="313">
        <v>44291</v>
      </c>
      <c r="K164" s="125">
        <f t="shared" si="6"/>
        <v>-0.59136212624584716</v>
      </c>
      <c r="L164" s="115">
        <f t="shared" si="7"/>
        <v>9.3023255813953654E-2</v>
      </c>
      <c r="M164" s="312">
        <v>44407</v>
      </c>
      <c r="N164" s="68"/>
      <c r="O164" s="291">
        <v>75937707</v>
      </c>
      <c r="P164" s="291">
        <v>67190000</v>
      </c>
      <c r="Q164" s="291">
        <v>7</v>
      </c>
      <c r="R164" s="68" t="s">
        <v>152</v>
      </c>
      <c r="S164" s="68" t="s">
        <v>493</v>
      </c>
      <c r="T164" s="68" t="s">
        <v>373</v>
      </c>
      <c r="U164" s="68">
        <v>40</v>
      </c>
      <c r="V164" s="68">
        <v>36832</v>
      </c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  <c r="BG164" s="88"/>
      <c r="BH164" s="8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81"/>
      <c r="CR164" s="81"/>
      <c r="CS164" s="68"/>
      <c r="CT164" s="68"/>
      <c r="CU164" s="68"/>
    </row>
    <row r="165" spans="1:99" ht="15.75" customHeight="1" thickBot="1" x14ac:dyDescent="0.3">
      <c r="A165" s="84" t="s">
        <v>194</v>
      </c>
      <c r="B165" s="67" t="s">
        <v>128</v>
      </c>
      <c r="C165" s="83" t="s">
        <v>511</v>
      </c>
      <c r="D165" s="67" t="s">
        <v>420</v>
      </c>
      <c r="E165" s="67">
        <v>1</v>
      </c>
      <c r="F165" s="85">
        <v>2.75</v>
      </c>
      <c r="G165" s="313">
        <v>44280</v>
      </c>
      <c r="H165" s="317">
        <v>2.96</v>
      </c>
      <c r="I165" s="317">
        <v>3.7</v>
      </c>
      <c r="J165" s="313">
        <v>44389</v>
      </c>
      <c r="K165" s="91">
        <f t="shared" si="6"/>
        <v>7.6363636363636411E-2</v>
      </c>
      <c r="L165" s="92">
        <f t="shared" si="7"/>
        <v>0.34545454545454546</v>
      </c>
      <c r="M165" s="312">
        <v>44407</v>
      </c>
      <c r="N165" s="68"/>
      <c r="O165" s="291">
        <v>13465871</v>
      </c>
      <c r="P165" s="291">
        <v>7800000</v>
      </c>
      <c r="Q165" s="291">
        <v>109</v>
      </c>
      <c r="R165" s="68" t="s">
        <v>131</v>
      </c>
      <c r="S165" s="68" t="s">
        <v>157</v>
      </c>
      <c r="T165" s="67" t="s">
        <v>408</v>
      </c>
      <c r="U165" s="68">
        <v>744</v>
      </c>
      <c r="V165" s="68">
        <v>460467</v>
      </c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  <c r="BG165" s="88"/>
      <c r="BH165" s="8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81"/>
      <c r="CR165" s="81"/>
      <c r="CS165" s="68"/>
      <c r="CT165" s="68"/>
      <c r="CU165" s="68"/>
    </row>
    <row r="166" spans="1:99" ht="15.75" customHeight="1" thickBot="1" x14ac:dyDescent="0.3">
      <c r="A166" s="84" t="s">
        <v>194</v>
      </c>
      <c r="B166" s="67" t="s">
        <v>128</v>
      </c>
      <c r="C166" s="83" t="s">
        <v>512</v>
      </c>
      <c r="D166" s="67" t="s">
        <v>481</v>
      </c>
      <c r="E166" s="67">
        <v>2</v>
      </c>
      <c r="F166" s="85">
        <v>2.0099999999999998</v>
      </c>
      <c r="G166" s="313">
        <v>44280</v>
      </c>
      <c r="H166" s="317">
        <v>1.08</v>
      </c>
      <c r="I166" s="85">
        <v>2.98</v>
      </c>
      <c r="J166" s="313">
        <v>44293</v>
      </c>
      <c r="K166" s="125">
        <f t="shared" si="6"/>
        <v>-0.462686567164179</v>
      </c>
      <c r="L166" s="196">
        <f t="shared" si="7"/>
        <v>0.48258706467661705</v>
      </c>
      <c r="M166" s="312">
        <v>44407</v>
      </c>
      <c r="N166" s="68"/>
      <c r="O166" s="291">
        <v>49487492</v>
      </c>
      <c r="P166" s="291">
        <v>41050000</v>
      </c>
      <c r="Q166" s="291">
        <v>13</v>
      </c>
      <c r="R166" s="68" t="s">
        <v>131</v>
      </c>
      <c r="S166" s="68" t="s">
        <v>157</v>
      </c>
      <c r="T166" s="68" t="s">
        <v>304</v>
      </c>
      <c r="U166" s="68">
        <v>132</v>
      </c>
      <c r="V166" s="68">
        <v>1428460</v>
      </c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  <c r="BG166" s="88"/>
      <c r="BH166" s="8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81"/>
      <c r="CR166" s="81"/>
      <c r="CS166" s="68"/>
      <c r="CT166" s="68"/>
      <c r="CU166" s="68"/>
    </row>
    <row r="167" spans="1:99" ht="15.75" customHeight="1" thickBot="1" x14ac:dyDescent="0.3">
      <c r="A167" s="84"/>
      <c r="B167" s="67" t="s">
        <v>128</v>
      </c>
      <c r="C167" s="83" t="s">
        <v>513</v>
      </c>
      <c r="D167" s="67" t="s">
        <v>328</v>
      </c>
      <c r="E167" s="67">
        <v>2</v>
      </c>
      <c r="F167" s="85">
        <v>3.45</v>
      </c>
      <c r="G167" s="313">
        <v>44277</v>
      </c>
      <c r="H167" s="317">
        <v>3.08</v>
      </c>
      <c r="I167" s="85">
        <v>7.7</v>
      </c>
      <c r="J167" s="313">
        <v>44356</v>
      </c>
      <c r="K167" s="125">
        <f t="shared" si="6"/>
        <v>-0.10724637681159421</v>
      </c>
      <c r="L167" s="197">
        <f t="shared" si="7"/>
        <v>1.2318840579710146</v>
      </c>
      <c r="M167" s="312">
        <v>44407</v>
      </c>
      <c r="N167" s="68"/>
      <c r="O167" s="291">
        <v>4823408</v>
      </c>
      <c r="P167" s="291">
        <v>2180000</v>
      </c>
      <c r="Q167" s="291">
        <v>79</v>
      </c>
      <c r="R167" s="68" t="s">
        <v>152</v>
      </c>
      <c r="S167" s="68" t="s">
        <v>148</v>
      </c>
      <c r="T167" s="67" t="s">
        <v>329</v>
      </c>
      <c r="U167" s="68">
        <v>324</v>
      </c>
      <c r="V167" s="68">
        <v>191367</v>
      </c>
      <c r="W167" s="68"/>
      <c r="X167" s="68">
        <v>3.45</v>
      </c>
      <c r="Y167" s="68">
        <v>2.5047675000000038</v>
      </c>
      <c r="Z167" s="68">
        <v>2.7463500000000018</v>
      </c>
      <c r="AA167" s="68">
        <v>3.2008000000000001</v>
      </c>
      <c r="AB167" s="68">
        <v>3.0739999999999998</v>
      </c>
      <c r="AC167" s="68">
        <v>3.1915000000000009</v>
      </c>
      <c r="AD167" s="68">
        <v>3.051428571428572</v>
      </c>
      <c r="AE167" s="68">
        <v>3.248750000000002</v>
      </c>
      <c r="AF167" s="68">
        <f>IF($Z$3="yes", 0.00548495244881087/$X167, 0.00548495244881087)</f>
        <v>1.589841289510397E-3</v>
      </c>
      <c r="AG167" s="68">
        <f>IF($Z$3="yes", 0.0164568556855684/$X167, 0.0164568556855684)</f>
        <v>4.7701030972662024E-3</v>
      </c>
      <c r="AH167" s="68">
        <f>IF($Z$3="yes", 0.0107370948379349/$X167, 0.0107370948379349)</f>
        <v>3.1122014022999709E-3</v>
      </c>
      <c r="AI167" s="68">
        <f>IF($Z$3="yes", 0.023445858343337/$X167, 0.023445858343337)</f>
        <v>6.7959009690831884E-3</v>
      </c>
      <c r="AJ167" s="68">
        <f>IF($Z$3="yes", -0.0111654135338358/$X167, -0.0111654135338358)</f>
        <v>-3.2363517489379127E-3</v>
      </c>
      <c r="AK167" s="68">
        <f>IF($Z$3="yes", 0.0636923076923061/$X167, 0.0636923076923061)</f>
        <v>1.8461538461538002E-2</v>
      </c>
      <c r="AL167" s="68">
        <f>IF($Z$3="yes", 0.0720238095238015/$X167, 0.0720238095238015)</f>
        <v>2.0876466528638112E-2</v>
      </c>
      <c r="AM167" s="68">
        <f>IF($Z$3="yes", 0.241582499999997/$X167, 0.241582499999997)</f>
        <v>7.0023913043477395E-2</v>
      </c>
      <c r="AN167" s="68">
        <f>IF($Z$3="yes", 0.696032499999995/$X167, 0.696032499999995)</f>
        <v>0.20174855072463621</v>
      </c>
      <c r="AO167" s="68">
        <f>IF($Z$3="yes", 0.569232499999996/$X167, 0.569232499999996)</f>
        <v>0.16499492753623071</v>
      </c>
      <c r="AP167" s="68">
        <f>IF($Z$3="yes", 0.686732499999997/$X167, 0.686732499999997)</f>
        <v>0.19905289855072375</v>
      </c>
      <c r="AQ167" s="68">
        <f>IF($Z$3="yes", 0.546661071428567/$X167, 0.546661071428567)</f>
        <v>0.1584524844720484</v>
      </c>
      <c r="AR167" s="68">
        <f>IF($Z$3="yes", 0.743982499999997/$X167, 0.743982499999997)</f>
        <v>0.21564710144927449</v>
      </c>
      <c r="AS167" s="68">
        <f>IF($Z$3="yes", 0.454449999999998/$X167, 0.454449999999998)</f>
        <v>0.13172463768115883</v>
      </c>
      <c r="AT167" s="68">
        <f>IF($Z$3="yes", 0.327649999999998/$X167, 0.327649999999998)</f>
        <v>9.4971014492753039E-2</v>
      </c>
      <c r="AU167" s="88">
        <f>IF($Z$3="yes", 0.445149999999999/$X167, 0.445149999999999)</f>
        <v>0.12902898550724609</v>
      </c>
      <c r="AV167" s="88">
        <f>IF($Z$3="yes", 0.305078571428569/$X167, 0.305078571428569)</f>
        <v>8.8428571428570718E-2</v>
      </c>
      <c r="AW167" s="88">
        <f>IF($Z$3="yes", 0.502399999999999/$X167, 0.502399999999999)</f>
        <v>0.1456231884057968</v>
      </c>
      <c r="AX167" s="88">
        <f>IF($Z$3="yes", 0.126799999999999/$X167, 0.126799999999999)</f>
        <v>3.6753623188405506E-2</v>
      </c>
      <c r="AY167" s="88">
        <f>IF($Z$3="yes", 0.117500000000001/$X167, 0.117500000000001)</f>
        <v>3.4057971014493045E-2</v>
      </c>
      <c r="AZ167" s="88">
        <f>IF($Z$3="yes", 0.0225714285714286/$X167, 0.0225714285714286)</f>
        <v>6.5424430641822023E-3</v>
      </c>
      <c r="BA167" s="88">
        <f>IF($Z$3="yes", 0.174750000000001/$X167, 0.174750000000001)</f>
        <v>5.065217391304376E-2</v>
      </c>
      <c r="BB167" s="88">
        <f>IF($Z$3="yes", 0.00929999999999875/$X167, 0.00929999999999875)</f>
        <v>2.6956521739126809E-3</v>
      </c>
      <c r="BC167" s="88">
        <f>IF($Z$3="yes", 0.149371428571428/$X167, 0.149371428571428)</f>
        <v>4.329606625258782E-2</v>
      </c>
      <c r="BD167" s="88">
        <f>IF($Z$3="yes", 0.0479500000000014/$X167, 0.0479500000000014)</f>
        <v>1.3898550724638086E-2</v>
      </c>
      <c r="BE167" s="88">
        <f>IF($Z$3="yes", 0.140071428571429/$X167, 0.140071428571429)</f>
        <v>4.0600414078675075E-2</v>
      </c>
      <c r="BF167" s="88">
        <f>IF($Z$3="yes", 0.0572500000000002/$X167, 0.0572500000000002)</f>
        <v>1.6594202898550781E-2</v>
      </c>
      <c r="BG167" s="88">
        <f>IF($Z$3="yes", 0.197321428571429/$X167, 0.197321428571429)</f>
        <v>5.7194616977225797E-2</v>
      </c>
      <c r="BH167" s="88">
        <f>IF($Z$3="yes", 0.567828639455781/$X167, 0.567828639455781)</f>
        <v>0.16458801143645824</v>
      </c>
      <c r="BI167" s="68"/>
      <c r="BJ167" s="68"/>
      <c r="BK167" s="68">
        <f>IF($BL$3="yes", MAX(0, (191367 - 581109.4) / 286097.607867385), 581109.4)</f>
        <v>581109.4</v>
      </c>
      <c r="BL167" s="68">
        <f>IF($BL$3="yes", MAX(0, (191367 - 1287480.2) / 1455660.02976359), 1287480.2)</f>
        <v>1287480.2</v>
      </c>
      <c r="BM167" s="68">
        <f>IF($BL$3="yes", MAX(0, (191367 - 994709.15) / 1119250.05211928), 994709.15)</f>
        <v>994709.15</v>
      </c>
      <c r="BN167" s="68">
        <f>IF($BL$3="yes", MAX(0, (191367 - 1177647.4) / 1799338.54521538), 1177647.4)</f>
        <v>1177647.3999999999</v>
      </c>
      <c r="BO167" s="68">
        <f>IF($BL$3="yes", MAX(0, (191367 - 856604.47) / 1387930.91658586), 856604.47)</f>
        <v>856604.47</v>
      </c>
      <c r="BP167" s="68">
        <f>IF($BL$3="yes", MAX(0, (191367 - 575013.278333333) / 1092023.52244065), 575013.278333333)</f>
        <v>575013.27833333297</v>
      </c>
      <c r="BQ167" s="68">
        <v>54.41049440070298</v>
      </c>
      <c r="BR167" s="68"/>
      <c r="BS167" s="68"/>
      <c r="BT167" s="68">
        <v>-13625345.967359331</v>
      </c>
      <c r="BU167" s="68">
        <v>54683.874792026363</v>
      </c>
      <c r="BV167" s="68">
        <f>IF($Z$3="yes", 0.503194352086084/$X167, 0.503194352086084)</f>
        <v>0.14585343538727072</v>
      </c>
      <c r="BW167" s="68">
        <f>IF($Z$3="yes", 0.435155505135125/$X167, 0.435155505135125)</f>
        <v>0.12613203047394927</v>
      </c>
      <c r="BX167" s="68">
        <f>$BW$188 - $BV$188</f>
        <v>-2.5739189673677138E-2</v>
      </c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81"/>
      <c r="CR167" s="81"/>
      <c r="CS167" s="68"/>
      <c r="CT167" s="68"/>
      <c r="CU167" s="68"/>
    </row>
    <row r="168" spans="1:99" ht="15.75" customHeight="1" thickBot="1" x14ac:dyDescent="0.3">
      <c r="A168" s="84"/>
      <c r="B168" s="67" t="s">
        <v>128</v>
      </c>
      <c r="C168" s="83" t="s">
        <v>513</v>
      </c>
      <c r="D168" s="67" t="s">
        <v>514</v>
      </c>
      <c r="E168" s="67">
        <v>1</v>
      </c>
      <c r="F168" s="85">
        <v>1.99</v>
      </c>
      <c r="G168" s="313">
        <v>44277</v>
      </c>
      <c r="H168" s="317">
        <v>1.25</v>
      </c>
      <c r="I168" s="317">
        <v>2.2799999999999998</v>
      </c>
      <c r="J168" s="313">
        <v>44393</v>
      </c>
      <c r="K168" s="125">
        <f t="shared" si="6"/>
        <v>-0.37185929648241201</v>
      </c>
      <c r="L168" s="162">
        <f t="shared" si="7"/>
        <v>0.14572864321608026</v>
      </c>
      <c r="M168" s="312">
        <v>44407</v>
      </c>
      <c r="N168" s="68"/>
      <c r="O168" s="291">
        <v>15514396</v>
      </c>
      <c r="P168" s="291">
        <v>11960000</v>
      </c>
      <c r="Q168" s="291">
        <v>116</v>
      </c>
      <c r="R168" s="68" t="s">
        <v>152</v>
      </c>
      <c r="S168" s="68" t="s">
        <v>148</v>
      </c>
      <c r="T168" s="67" t="s">
        <v>271</v>
      </c>
      <c r="U168" s="68">
        <v>140</v>
      </c>
      <c r="V168" s="68">
        <v>330229</v>
      </c>
      <c r="W168" s="68"/>
      <c r="X168" s="68">
        <v>1.99</v>
      </c>
      <c r="Y168" s="68">
        <v>1.7220444999999951</v>
      </c>
      <c r="Z168" s="68">
        <v>1.9472730000000009</v>
      </c>
      <c r="AA168" s="68">
        <v>2.639742</v>
      </c>
      <c r="AB168" s="68">
        <v>2.5203199999999999</v>
      </c>
      <c r="AC168" s="68">
        <v>2.006495000000001</v>
      </c>
      <c r="AD168" s="68">
        <v>1.963564285714285</v>
      </c>
      <c r="AE168" s="68">
        <v>2.1162499999999991</v>
      </c>
      <c r="AF168" s="68">
        <f>IF($Z$3="yes", 0.0042171551038779/$X168, 0.0042171551038779)</f>
        <v>2.119173419034121E-3</v>
      </c>
      <c r="AG168" s="68">
        <f>IF($Z$3="yes", 0.0197137887788778/$X168, 0.0197137887788778)</f>
        <v>9.9064265220491447E-3</v>
      </c>
      <c r="AH168" s="68">
        <f>IF($Z$3="yes", -0.0154885714285714/$X168, -0.0154885714285714)</f>
        <v>-7.7832017229002015E-3</v>
      </c>
      <c r="AI168" s="68">
        <f>IF($Z$3="yes", 0.0237820696278511/$X168, 0.0237820696278511)</f>
        <v>1.1950788757714121E-2</v>
      </c>
      <c r="AJ168" s="68">
        <f>IF($Z$3="yes", 0.00233827067669146/$X168, 0.00233827067669146)</f>
        <v>1.1750103902972162E-3</v>
      </c>
      <c r="AK168" s="68">
        <f>IF($Z$3="yes", 0.0360230769230745/$X168, 0.0360230769230745)</f>
        <v>1.8102048705062563E-2</v>
      </c>
      <c r="AL168" s="68">
        <f>IF($Z$3="yes", -0.0177380952380865/$X168, -0.0177380952380865)</f>
        <v>-8.9136156975309043E-3</v>
      </c>
      <c r="AM168" s="68">
        <f>IF($Z$3="yes", 0.225228500000006/$X168, 0.225228500000006)</f>
        <v>0.11318015075377186</v>
      </c>
      <c r="AN168" s="68">
        <f>IF($Z$3="yes", 0.917697500000005/$X168, 0.917697500000005)</f>
        <v>0.46115452261306789</v>
      </c>
      <c r="AO168" s="68">
        <f>IF($Z$3="yes", 0.798275500000005/$X168, 0.798275500000005)</f>
        <v>0.40114346733668593</v>
      </c>
      <c r="AP168" s="68">
        <f>IF($Z$3="yes", 0.284450500000006/$X168, 0.284450500000006)</f>
        <v>0.14293994974874674</v>
      </c>
      <c r="AQ168" s="68">
        <f>IF($Z$3="yes", 0.241519785714289/$X168, 0.241519785714289)</f>
        <v>0.12136672648959246</v>
      </c>
      <c r="AR168" s="68">
        <f>IF($Z$3="yes", 0.394205500000004/$X168, 0.394205500000004)</f>
        <v>0.19809321608040401</v>
      </c>
      <c r="AS168" s="68">
        <f>IF($Z$3="yes", 0.692468999999999/$X168, 0.692468999999999)</f>
        <v>0.34797437185929597</v>
      </c>
      <c r="AT168" s="68">
        <f>IF($Z$3="yes", 0.573046999999999/$X168, 0.573046999999999)</f>
        <v>0.28796331658291408</v>
      </c>
      <c r="AU168" s="88">
        <f>IF($Z$3="yes", 0.0592220000000003/$X168, 0.0592220000000003)</f>
        <v>2.9759798994975026E-2</v>
      </c>
      <c r="AV168" s="88">
        <f>IF($Z$3="yes", 0.0162912857142838/$X168, 0.0162912857142838)</f>
        <v>8.1865757358210063E-3</v>
      </c>
      <c r="AW168" s="88">
        <f>IF($Z$3="yes", 0.168976999999997/$X168, 0.168976999999997)</f>
        <v>8.4913065326631648E-2</v>
      </c>
      <c r="AX168" s="88">
        <f>IF($Z$3="yes", 0.119422/$X168, 0.119422)</f>
        <v>6.0011055276381911E-2</v>
      </c>
      <c r="AY168" s="88">
        <f>IF($Z$3="yes", 0.513824999999998/$X168, 0.513824999999998)</f>
        <v>0.25820351758793869</v>
      </c>
      <c r="AZ168" s="88">
        <f>IF($Z$3="yes", 0.556755714285715/$X168, 0.556755714285715)</f>
        <v>0.27977674084709298</v>
      </c>
      <c r="BA168" s="88">
        <f>IF($Z$3="yes", 0.404070000000001/$X168, 0.404070000000001)</f>
        <v>0.2030502512562819</v>
      </c>
      <c r="BB168" s="88">
        <f>IF($Z$3="yes", 0.633246999999999/$X168, 0.633246999999999)</f>
        <v>0.31821457286432109</v>
      </c>
      <c r="BC168" s="88">
        <f>IF($Z$3="yes", 0.676177714285715/$X168, 0.676177714285715)</f>
        <v>0.33978779612347487</v>
      </c>
      <c r="BD168" s="88">
        <f>IF($Z$3="yes", 0.523492000000001/$X168, 0.523492000000001)</f>
        <v>0.2630613065326638</v>
      </c>
      <c r="BE168" s="88">
        <f>IF($Z$3="yes", 0.0429307142857164/$X168, 0.0429307142857164)</f>
        <v>2.1573223259153968E-2</v>
      </c>
      <c r="BF168" s="88">
        <f>IF($Z$3="yes", 0.109754999999997/$X168, 0.109754999999997)</f>
        <v>5.5153266331656778E-2</v>
      </c>
      <c r="BG168" s="88">
        <f>IF($Z$3="yes", 0.152685714285714/$X168, 0.152685714285714)</f>
        <v>7.6726489590811062E-2</v>
      </c>
      <c r="BH168" s="88">
        <f>IF($Z$3="yes", 0.525744414965987/$X168, 0.525744414965987)</f>
        <v>0.26419317334974224</v>
      </c>
      <c r="BI168" s="68"/>
      <c r="BJ168" s="68"/>
      <c r="BK168" s="68">
        <f>IF($BL$3="yes", MAX(0, (330229 - 1583209) / 1421877.73088448), 1583209)</f>
        <v>1583209</v>
      </c>
      <c r="BL168" s="68">
        <f>IF($BL$3="yes", MAX(0, (330229 - 1563880.1) / 1528776.2456093), 1563880.1)</f>
        <v>1563880.1</v>
      </c>
      <c r="BM168" s="68">
        <f>IF($BL$3="yes", MAX(0, (330229 - 1434861.95) / 1209885.80784487), 1434861.95)</f>
        <v>1434861.95</v>
      </c>
      <c r="BN168" s="68">
        <f>IF($BL$3="yes", MAX(0, (330229 - 2629425.265) / 2891269.7075405), 2629425.265)</f>
        <v>2629425.2650000001</v>
      </c>
      <c r="BO168" s="68">
        <f>IF($BL$3="yes", MAX(0, (330229 - 1760626.115) / 2468229.54587139), 1760626.115)</f>
        <v>1760626.115</v>
      </c>
      <c r="BP168" s="68">
        <f>IF($BL$3="yes", MAX(0, (330229 - 1498408.105) / 2130336.57980402), 1498408.105)</f>
        <v>1498408.105</v>
      </c>
      <c r="BQ168" s="68">
        <v>44.416555125549777</v>
      </c>
      <c r="BR168" s="68"/>
      <c r="BS168" s="68"/>
      <c r="BT168" s="68">
        <v>-402300.45789017872</v>
      </c>
      <c r="BU168" s="68">
        <v>-384256.90644984128</v>
      </c>
      <c r="BV168" s="68">
        <f>IF($Z$3="yes", 0.33425168154141/$X168, 0.33425168154141)</f>
        <v>0.16796566911628644</v>
      </c>
      <c r="BW168" s="68">
        <f>IF($Z$3="yes", 0.388186247704618/$X168, 0.388186247704618)</f>
        <v>0.19506846618322513</v>
      </c>
      <c r="BX168" s="68">
        <f>$BW$137 - $BV$137</f>
        <v>0.13217367976179309</v>
      </c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81"/>
      <c r="CR168" s="81"/>
      <c r="CS168" s="68"/>
      <c r="CT168" s="68"/>
      <c r="CU168" s="68"/>
    </row>
    <row r="169" spans="1:99" ht="15.75" customHeight="1" thickBot="1" x14ac:dyDescent="0.3">
      <c r="A169" s="84"/>
      <c r="B169" s="67" t="s">
        <v>128</v>
      </c>
      <c r="C169" s="83" t="s">
        <v>513</v>
      </c>
      <c r="D169" s="67" t="s">
        <v>515</v>
      </c>
      <c r="E169" s="67">
        <v>3</v>
      </c>
      <c r="F169" s="85">
        <v>2.0499999999999998</v>
      </c>
      <c r="G169" s="313">
        <v>44277</v>
      </c>
      <c r="H169" s="317">
        <v>1.42</v>
      </c>
      <c r="I169" s="85">
        <v>2.06</v>
      </c>
      <c r="J169" s="313">
        <v>44278</v>
      </c>
      <c r="K169" s="125">
        <f t="shared" si="6"/>
        <v>-0.30731707317073165</v>
      </c>
      <c r="L169" s="100">
        <f t="shared" si="7"/>
        <v>4.8780487804878092E-3</v>
      </c>
      <c r="M169" s="312">
        <v>44407</v>
      </c>
      <c r="N169" s="68"/>
      <c r="O169" s="291">
        <v>37948082</v>
      </c>
      <c r="P169" s="291">
        <v>13410000</v>
      </c>
      <c r="Q169" s="291">
        <v>1</v>
      </c>
      <c r="R169" s="68" t="s">
        <v>211</v>
      </c>
      <c r="S169" s="68" t="s">
        <v>220</v>
      </c>
      <c r="T169" s="67" t="s">
        <v>516</v>
      </c>
      <c r="U169" s="68">
        <v>60</v>
      </c>
      <c r="V169" s="68">
        <v>183392</v>
      </c>
      <c r="W169" s="68"/>
      <c r="X169" s="68">
        <v>2.0499999999999998</v>
      </c>
      <c r="Y169" s="68">
        <v>1.4536035</v>
      </c>
      <c r="Z169" s="68">
        <v>1.6785979999999989</v>
      </c>
      <c r="AA169" s="68">
        <v>1.9869600000000001</v>
      </c>
      <c r="AB169" s="68">
        <v>1.8800840000000001</v>
      </c>
      <c r="AC169" s="68">
        <v>1.981649999999999</v>
      </c>
      <c r="AD169" s="68">
        <v>1.920214285714285</v>
      </c>
      <c r="AE169" s="68">
        <v>2.0191249999999998</v>
      </c>
      <c r="AF169" s="68">
        <f>IF($Z$3="yes", 0.00475475459386485/$X169, 0.00475475459386485)</f>
        <v>2.3193924848121219E-3</v>
      </c>
      <c r="AG169" s="68">
        <f>IF($Z$3="yes", 0.0109551455145515/$X169, 0.0109551455145515)</f>
        <v>5.343973421732439E-3</v>
      </c>
      <c r="AH169" s="68">
        <f>IF($Z$3="yes", 0.00722669867947135/$X169, 0.00722669867947135)</f>
        <v>3.5252188680348052E-3</v>
      </c>
      <c r="AI169" s="68">
        <f>IF($Z$3="yes", 0.0175123265306117/$X169, 0.0175123265306117)</f>
        <v>8.5425983076154628E-3</v>
      </c>
      <c r="AJ169" s="68">
        <f>IF($Z$3="yes", -0.00622481203007525/$X169, -0.00622481203007525)</f>
        <v>-3.0364936732074394E-3</v>
      </c>
      <c r="AK169" s="68">
        <f>IF($Z$3="yes", 0.0264901098901122/$X169, 0.0264901098901122)</f>
        <v>1.2922004824444977E-2</v>
      </c>
      <c r="AL169" s="68">
        <f>IF($Z$3="yes", 0.0145833333333383/$X169, 0.0145833333333383)</f>
        <v>7.1138211382138052E-3</v>
      </c>
      <c r="AM169" s="68">
        <f>IF($Z$3="yes", 0.224994499999998/$X169, 0.224994499999998)</f>
        <v>0.10975341463414537</v>
      </c>
      <c r="AN169" s="68">
        <f>IF($Z$3="yes", 0.533356499999999/$X169, 0.533356499999999)</f>
        <v>0.26017390243902394</v>
      </c>
      <c r="AO169" s="68">
        <f>IF($Z$3="yes", 0.426480499999999/$X169, 0.426480499999999)</f>
        <v>0.20803926829268246</v>
      </c>
      <c r="AP169" s="68">
        <f>IF($Z$3="yes", 0.528046499999998/$X169, 0.528046499999998)</f>
        <v>0.25758365853658438</v>
      </c>
      <c r="AQ169" s="68">
        <f>IF($Z$3="yes", 0.466610785714284/$X169, 0.466610785714284)</f>
        <v>0.22761501742160198</v>
      </c>
      <c r="AR169" s="68">
        <f>IF($Z$3="yes", 0.565521499999999/$X169, 0.565521499999999)</f>
        <v>0.27586414634146295</v>
      </c>
      <c r="AS169" s="68">
        <f>IF($Z$3="yes", 0.308362000000001/$X169, 0.308362000000001)</f>
        <v>0.15042048780487857</v>
      </c>
      <c r="AT169" s="68">
        <f>IF($Z$3="yes", 0.201486000000001/$X169, 0.201486000000001)</f>
        <v>9.8285853658537078E-2</v>
      </c>
      <c r="AU169" s="88">
        <f>IF($Z$3="yes", 0.303051999999999/$X169, 0.303051999999999)</f>
        <v>0.14783024390243854</v>
      </c>
      <c r="AV169" s="88">
        <f>IF($Z$3="yes", 0.241616285714285/$X169, 0.241616285714285)</f>
        <v>0.11786160278745611</v>
      </c>
      <c r="AW169" s="88">
        <f>IF($Z$3="yes", 0.340527000000001/$X169, 0.340527000000001)</f>
        <v>0.16611073170731758</v>
      </c>
      <c r="AX169" s="88">
        <f>IF($Z$3="yes", 0.106875999999999/$X169, 0.106875999999999)</f>
        <v>5.213463414634098E-2</v>
      </c>
      <c r="AY169" s="88">
        <f>IF($Z$3="yes", 0.101565999999998/$X169, 0.101565999999998)</f>
        <v>4.9544390243901469E-2</v>
      </c>
      <c r="AZ169" s="88">
        <f>IF($Z$3="yes", 0.0401302857142846/$X169, 0.0401302857142846)</f>
        <v>1.957574912891932E-2</v>
      </c>
      <c r="BA169" s="88">
        <f>IF($Z$3="yes", 0.139041/$X169, 0.139041)</f>
        <v>6.7824878048780499E-2</v>
      </c>
      <c r="BB169" s="88">
        <f>IF($Z$3="yes", 0.00531000000000125/$X169, 0.00531000000000125)</f>
        <v>2.5902439024396346E-3</v>
      </c>
      <c r="BC169" s="88">
        <f>IF($Z$3="yes", 0.0667457142857153/$X169, 0.0667457142857153)</f>
        <v>3.2558885017422101E-2</v>
      </c>
      <c r="BD169" s="88">
        <f>IF($Z$3="yes", 0.0321650000000002/$X169, 0.0321650000000002)</f>
        <v>1.5690243902439123E-2</v>
      </c>
      <c r="BE169" s="88">
        <f>IF($Z$3="yes", 0.061435714285714/$X169, 0.061435714285714)</f>
        <v>2.9968641114982444E-2</v>
      </c>
      <c r="BF169" s="88">
        <f>IF($Z$3="yes", 0.0374750000000014/$X169, 0.0374750000000014)</f>
        <v>1.8280487804878735E-2</v>
      </c>
      <c r="BG169" s="88">
        <f>IF($Z$3="yes", 0.0989107142857155/$X169, 0.0989107142857155)</f>
        <v>4.8249128919861224E-2</v>
      </c>
      <c r="BH169" s="88">
        <f>IF($Z$3="yes", 0.381461775510204/$X169, 0.381461775510204)</f>
        <v>0.18607891488302636</v>
      </c>
      <c r="BI169" s="68"/>
      <c r="BJ169" s="68"/>
      <c r="BK169" s="68">
        <f>IF($BL$3="yes", MAX(0, (183392 - 284753.8) / 125826.367038709), 284753.8)</f>
        <v>284753.8</v>
      </c>
      <c r="BL169" s="68">
        <f>IF($BL$3="yes", MAX(0, (183392 - 424690.4) / 215337.871715683), 424690.4)</f>
        <v>424690.4</v>
      </c>
      <c r="BM169" s="68">
        <f>IF($BL$3="yes", MAX(0, (183392 - 586869.9) / 471294.994538548), 586869.9)</f>
        <v>586869.9</v>
      </c>
      <c r="BN169" s="68">
        <f>IF($BL$3="yes", MAX(0, (183392 - 2192326.34) / 4063841.29308997), 2192326.34)</f>
        <v>2192326.34</v>
      </c>
      <c r="BO169" s="68">
        <f>IF($BL$3="yes", MAX(0, (183392 - 1216454.36) / 3039928.58397891), 1216454.36)</f>
        <v>1216454.3600000001</v>
      </c>
      <c r="BP169" s="68">
        <f>IF($BL$3="yes", MAX(0, (183392 - 1143802.485) / 4052706.67300437), 1143802.485)</f>
        <v>1143802.4850000001</v>
      </c>
      <c r="BQ169" s="68">
        <v>52.251095258409862</v>
      </c>
      <c r="BR169" s="68"/>
      <c r="BS169" s="68"/>
      <c r="BT169" s="68">
        <v>-17307989.924595121</v>
      </c>
      <c r="BU169" s="68">
        <v>129897.0450516455</v>
      </c>
      <c r="BV169" s="68">
        <f>IF($Z$3="yes", 0.216432877297546/$X169, 0.216432877297546)</f>
        <v>0.10557701331587611</v>
      </c>
      <c r="BW169" s="68">
        <f>IF($Z$3="yes", 0.25163378254134/$X169, 0.25163378254134)</f>
        <v>0.12274818660553172</v>
      </c>
      <c r="BX169" s="68">
        <f>$BW$138 - $BV$138</f>
        <v>-0.26499199964121184</v>
      </c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81"/>
      <c r="CR169" s="81"/>
      <c r="CS169" s="68"/>
      <c r="CT169" s="68"/>
      <c r="CU169" s="68"/>
    </row>
    <row r="170" spans="1:99" ht="15.75" customHeight="1" thickBot="1" x14ac:dyDescent="0.3">
      <c r="A170" s="84"/>
      <c r="B170" s="67" t="s">
        <v>128</v>
      </c>
      <c r="C170" s="83" t="s">
        <v>513</v>
      </c>
      <c r="D170" s="67" t="s">
        <v>517</v>
      </c>
      <c r="E170" s="67">
        <v>1</v>
      </c>
      <c r="F170" s="85">
        <v>4.2699999999999996</v>
      </c>
      <c r="G170" s="313">
        <v>44277</v>
      </c>
      <c r="H170" s="317">
        <v>3.16</v>
      </c>
      <c r="I170" s="85">
        <v>4.2699999999999996</v>
      </c>
      <c r="J170" s="67"/>
      <c r="K170" s="125">
        <f t="shared" si="6"/>
        <v>-0.2599531615925057</v>
      </c>
      <c r="L170" s="100">
        <f t="shared" si="7"/>
        <v>0</v>
      </c>
      <c r="M170" s="312">
        <v>44407</v>
      </c>
      <c r="N170" s="68"/>
      <c r="O170" s="291">
        <v>14410143</v>
      </c>
      <c r="P170" s="291">
        <v>14350000</v>
      </c>
      <c r="Q170" s="291"/>
      <c r="R170" s="68" t="s">
        <v>131</v>
      </c>
      <c r="S170" s="68" t="s">
        <v>148</v>
      </c>
      <c r="T170" s="68" t="s">
        <v>154</v>
      </c>
      <c r="U170" s="68">
        <v>380</v>
      </c>
      <c r="V170" s="68">
        <v>805246</v>
      </c>
      <c r="W170" s="68"/>
      <c r="X170" s="68">
        <v>4.26</v>
      </c>
      <c r="Y170" s="68">
        <v>5.0714499999999996</v>
      </c>
      <c r="Z170" s="68">
        <v>4.2878000000000007</v>
      </c>
      <c r="AA170" s="68">
        <v>4.4866000000000019</v>
      </c>
      <c r="AB170" s="68">
        <v>4.4795999999999996</v>
      </c>
      <c r="AC170" s="68">
        <v>4.258</v>
      </c>
      <c r="AD170" s="68">
        <v>4.1628571428571419</v>
      </c>
      <c r="AE170" s="68">
        <v>4.2187499999999982</v>
      </c>
      <c r="AF170" s="68">
        <f>IF($Z$3="yes", -0.0160035325883145/$X170, -0.0160035325883145)</f>
        <v>-3.7566977906841547E-3</v>
      </c>
      <c r="AG170" s="68">
        <f>IF($Z$3="yes", 0.00594347434743474/$X170, 0.00594347434743474)</f>
        <v>1.3951817716982957E-3</v>
      </c>
      <c r="AH170" s="68">
        <f>IF($Z$3="yes", -0.00709963985594271/$X170, -0.00709963985594271)</f>
        <v>-1.666582125808148E-3</v>
      </c>
      <c r="AI170" s="68">
        <f>IF($Z$3="yes", 0.00756782713085211/$X170, 0.00756782713085211)</f>
        <v>1.7764852419840634E-3</v>
      </c>
      <c r="AJ170" s="68">
        <f>IF($Z$3="yes", -0.0185263157894718/$X170, -0.0185263157894718)</f>
        <v>-4.3489004200638025E-3</v>
      </c>
      <c r="AK170" s="68">
        <f>IF($Z$3="yes", 0.0087912087912105/$X170, 0.0087912087912105)</f>
        <v>2.0636640354954228E-3</v>
      </c>
      <c r="AL170" s="68">
        <f>IF($Z$3="yes", -0.0191666666666722/$X170, -0.0191666666666722)</f>
        <v>-4.4992175273878407E-3</v>
      </c>
      <c r="AM170" s="68">
        <f>IF($Z$3="yes", 0.783649999999998/$X170, 0.783649999999998)</f>
        <v>0.18395539906103239</v>
      </c>
      <c r="AN170" s="68">
        <f>IF($Z$3="yes", 0.584849999999997/$X170, 0.584849999999997)</f>
        <v>0.13728873239436551</v>
      </c>
      <c r="AO170" s="68">
        <f>IF($Z$3="yes", 0.591849999999999/$X170, 0.591849999999999)</f>
        <v>0.13893192488262887</v>
      </c>
      <c r="AP170" s="68">
        <f>IF($Z$3="yes", 0.813449999999999/$X170, 0.813449999999999)</f>
        <v>0.1909507042253519</v>
      </c>
      <c r="AQ170" s="68">
        <f>IF($Z$3="yes", 0.908592857142857/$X170, 0.908592857142857)</f>
        <v>0.21328470824949697</v>
      </c>
      <c r="AR170" s="68">
        <f>IF($Z$3="yes", 0.852700000000001/$X170, 0.852700000000001)</f>
        <v>0.20016431924882655</v>
      </c>
      <c r="AS170" s="68">
        <f>IF($Z$3="yes", 0.198800000000001/$X170, 0.198800000000001)</f>
        <v>4.6666666666666905E-2</v>
      </c>
      <c r="AT170" s="68">
        <f>IF($Z$3="yes", 0.191799999999999/$X170, 0.191799999999999)</f>
        <v>4.5023474178403522E-2</v>
      </c>
      <c r="AU170" s="88">
        <f>IF($Z$3="yes", 0.0298000000000007/$X170, 0.0298000000000007)</f>
        <v>6.9953051643194134E-3</v>
      </c>
      <c r="AV170" s="88">
        <f>IF($Z$3="yes", 0.124942857142858/$X170, 0.124942857142858)</f>
        <v>2.9329309188464318E-2</v>
      </c>
      <c r="AW170" s="88">
        <f>IF($Z$3="yes", 0.0690500000000025/$X170, 0.0690500000000025)</f>
        <v>1.6208920187794015E-2</v>
      </c>
      <c r="AX170" s="88">
        <f>IF($Z$3="yes", 0.00700000000000144/$X170, 0.00700000000000144)</f>
        <v>1.643192488263249E-3</v>
      </c>
      <c r="AY170" s="88">
        <f>IF($Z$3="yes", 0.2216/$X170, 0.2216)</f>
        <v>5.2018779342723004E-2</v>
      </c>
      <c r="AZ170" s="88">
        <f>IF($Z$3="yes", 0.316742857142858/$X170, 0.316742857142858)</f>
        <v>7.4352783366868083E-2</v>
      </c>
      <c r="BA170" s="88">
        <f>IF($Z$3="yes", 0.260850000000002/$X170, 0.260850000000002)</f>
        <v>6.1232394366197658E-2</v>
      </c>
      <c r="BB170" s="88">
        <f>IF($Z$3="yes", 0.228600000000001/$X170, 0.228600000000001)</f>
        <v>5.3661971830986151E-2</v>
      </c>
      <c r="BC170" s="88">
        <f>IF($Z$3="yes", 0.32374285714286/$X170, 0.32374285714286)</f>
        <v>7.5995975855131459E-2</v>
      </c>
      <c r="BD170" s="88">
        <f>IF($Z$3="yes", 0.267850000000003/$X170, 0.267850000000003)</f>
        <v>6.2875586854460791E-2</v>
      </c>
      <c r="BE170" s="88">
        <f>IF($Z$3="yes", 0.095142857142858/$X170, 0.095142857142858)</f>
        <v>2.2334004024145072E-2</v>
      </c>
      <c r="BF170" s="88">
        <f>IF($Z$3="yes", 0.0392500000000017/$X170, 0.0392500000000017)</f>
        <v>9.2136150234745778E-3</v>
      </c>
      <c r="BG170" s="88">
        <f>IF($Z$3="yes", 0.0558928571428563/$X170, 0.0558928571428563)</f>
        <v>1.3120389000670493E-2</v>
      </c>
      <c r="BH170" s="88">
        <f>IF($Z$3="yes", 0.665679251700681/$X170, 0.665679251700681)</f>
        <v>0.15626273514100494</v>
      </c>
      <c r="BI170" s="68"/>
      <c r="BJ170" s="68"/>
      <c r="BK170" s="68">
        <f>IF($BL$3="yes", MAX(0, (805246 - 797596.2) / 364638.613277529), 797596.2)</f>
        <v>797596.2</v>
      </c>
      <c r="BL170" s="68">
        <f>IF($BL$3="yes", MAX(0, (805246 - 733918.9) / 351313.197942647), 733918.9)</f>
        <v>733918.9</v>
      </c>
      <c r="BM170" s="68">
        <f>IF($BL$3="yes", MAX(0, (805246 - 1080027.4) / 674928.741697403), 1080027.4)</f>
        <v>1080027.3999999999</v>
      </c>
      <c r="BN170" s="68">
        <f>IF($BL$3="yes", MAX(0, (805246 - 1176854.24) / 950219.59996021), 1176854.24)</f>
        <v>1176854.24</v>
      </c>
      <c r="BO170" s="68">
        <f>IF($BL$3="yes", MAX(0, (805246 - 807651.76) / 849993.008055103), 807651.76)</f>
        <v>807651.76</v>
      </c>
      <c r="BP170" s="68">
        <f>IF($BL$3="yes", MAX(0, (805246 - 828267.905) / 899056.910095276), 828267.905)</f>
        <v>828267.90500000003</v>
      </c>
      <c r="BQ170" s="68">
        <v>48.106266394722198</v>
      </c>
      <c r="BR170" s="68"/>
      <c r="BS170" s="68"/>
      <c r="BT170" s="68">
        <v>2354834.119274884</v>
      </c>
      <c r="BU170" s="68">
        <v>114768.61074061879</v>
      </c>
      <c r="BV170" s="68">
        <f>IF($Z$3="yes", 0.288938922888319/$X170, 0.288938922888319)</f>
        <v>6.7826038236694614E-2</v>
      </c>
      <c r="BW170" s="68">
        <f>IF($Z$3="yes", 0.272700495616436/$X170, 0.272700495616436)</f>
        <v>6.4014200848928643E-2</v>
      </c>
      <c r="BX170" s="68">
        <f>$BW$139 - $BV$139</f>
        <v>7.7788312367571777E-2</v>
      </c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81"/>
      <c r="CR170" s="81"/>
      <c r="CS170" s="68"/>
      <c r="CT170" s="68"/>
      <c r="CU170" s="68"/>
    </row>
    <row r="171" spans="1:99" ht="15.75" customHeight="1" thickBot="1" x14ac:dyDescent="0.3">
      <c r="A171" s="84"/>
      <c r="B171" s="67" t="s">
        <v>128</v>
      </c>
      <c r="C171" s="83" t="s">
        <v>513</v>
      </c>
      <c r="D171" s="67" t="s">
        <v>518</v>
      </c>
      <c r="E171" s="67">
        <v>2</v>
      </c>
      <c r="F171" s="85">
        <v>1.1200000000000001</v>
      </c>
      <c r="G171" s="313">
        <v>44277</v>
      </c>
      <c r="H171" s="317">
        <v>1.22</v>
      </c>
      <c r="I171" s="85">
        <v>1.93</v>
      </c>
      <c r="J171" s="313">
        <v>44355</v>
      </c>
      <c r="K171" s="200">
        <f t="shared" si="6"/>
        <v>8.9285714285714191E-2</v>
      </c>
      <c r="L171" s="201">
        <f t="shared" si="7"/>
        <v>0.72321428571428559</v>
      </c>
      <c r="M171" s="312">
        <v>44407</v>
      </c>
      <c r="N171" s="68"/>
      <c r="O171" s="291">
        <v>30541255</v>
      </c>
      <c r="P171" s="291">
        <v>31220000</v>
      </c>
      <c r="Q171" s="291">
        <v>78</v>
      </c>
      <c r="R171" s="68" t="s">
        <v>152</v>
      </c>
      <c r="S171" s="68" t="s">
        <v>148</v>
      </c>
      <c r="T171" s="68" t="s">
        <v>504</v>
      </c>
      <c r="U171" s="68">
        <v>112</v>
      </c>
      <c r="V171" s="68">
        <v>742496</v>
      </c>
      <c r="W171" s="68"/>
      <c r="X171" s="68">
        <v>1.1200000000000001</v>
      </c>
      <c r="Y171" s="68">
        <v>1.045397000000001</v>
      </c>
      <c r="Z171" s="68">
        <v>0.97981400000000007</v>
      </c>
      <c r="AA171" s="68">
        <v>1.105102</v>
      </c>
      <c r="AB171" s="68">
        <v>1.0678259999999999</v>
      </c>
      <c r="AC171" s="68">
        <v>1.11382</v>
      </c>
      <c r="AD171" s="68">
        <v>1.084028571428572</v>
      </c>
      <c r="AE171" s="68">
        <v>1.1125</v>
      </c>
      <c r="AF171" s="68">
        <f>IF($Z$3="yes", -0.00161704207605201/$X171, -0.00161704207605201)</f>
        <v>-1.44378756790358E-3</v>
      </c>
      <c r="AG171" s="68">
        <f>IF($Z$3="yes", 0.00439668406840685/$X171, 0.00439668406840685)</f>
        <v>3.9256107753632584E-3</v>
      </c>
      <c r="AH171" s="68">
        <f>IF($Z$3="yes", 0.00348335654261686/$X171, 0.00348335654261686)</f>
        <v>3.1101397701936246E-3</v>
      </c>
      <c r="AI171" s="68">
        <f>IF($Z$3="yes", 0.0066490516206481/$X171, 0.0066490516206481)</f>
        <v>5.9366532327215175E-3</v>
      </c>
      <c r="AJ171" s="68">
        <f>IF($Z$3="yes", -0.00413684210526346/$X171, -0.00413684210526346)</f>
        <v>-3.6936090225566606E-3</v>
      </c>
      <c r="AK171" s="68">
        <f>IF($Z$3="yes", 0.00980131868131919/$X171, 0.00980131868131919)</f>
        <v>8.751177394034991E-3</v>
      </c>
      <c r="AL171" s="68">
        <f>IF($Z$3="yes", 0.004523809523812/$X171, 0.004523809523812)</f>
        <v>4.0391156462607136E-3</v>
      </c>
      <c r="AM171" s="68">
        <f>IF($Z$3="yes", 0.0655830000000013/$X171, 0.0655830000000013)</f>
        <v>5.8556250000001163E-2</v>
      </c>
      <c r="AN171" s="68">
        <f>IF($Z$3="yes", 0.0597049999999983/$X171, 0.0597049999999983)</f>
        <v>5.3308035714284191E-2</v>
      </c>
      <c r="AO171" s="68">
        <f>IF($Z$3="yes", 0.0224289999999984/$X171, 0.0224289999999984)</f>
        <v>2.0025892857141427E-2</v>
      </c>
      <c r="AP171" s="68">
        <f>IF($Z$3="yes", 0.068422999999999/$X171, 0.068422999999999)</f>
        <v>6.1091964285713389E-2</v>
      </c>
      <c r="AQ171" s="68">
        <f>IF($Z$3="yes", 0.0386315714285701/$X171, 0.0386315714285701)</f>
        <v>3.4492474489794728E-2</v>
      </c>
      <c r="AR171" s="68">
        <f>IF($Z$3="yes", 0.0671029999999983/$X171, 0.0671029999999983)</f>
        <v>5.9913392857141333E-2</v>
      </c>
      <c r="AS171" s="68">
        <f>IF($Z$3="yes", 0.125287999999999/$X171, 0.125287999999999)</f>
        <v>0.11186428571428482</v>
      </c>
      <c r="AT171" s="68">
        <f>IF($Z$3="yes", 0.0880119999999998/$X171, 0.0880119999999998)</f>
        <v>7.858214285714267E-2</v>
      </c>
      <c r="AU171" s="88">
        <f>IF($Z$3="yes", 0.134006/$X171, 0.134006)</f>
        <v>0.11964821428571426</v>
      </c>
      <c r="AV171" s="88">
        <f>IF($Z$3="yes", 0.104214571428571/$X171, 0.104214571428571)</f>
        <v>9.3048724489795537E-2</v>
      </c>
      <c r="AW171" s="88">
        <f>IF($Z$3="yes", 0.132685999999999/$X171, 0.132685999999999)</f>
        <v>0.11846964285714195</v>
      </c>
      <c r="AX171" s="88">
        <f>IF($Z$3="yes", 0.0372759999999998/$X171, 0.0372759999999998)</f>
        <v>3.3282142857142677E-2</v>
      </c>
      <c r="AY171" s="88">
        <f>IF($Z$3="yes", 0.0459940000000005/$X171, 0.0459940000000005)</f>
        <v>4.1066071428571868E-2</v>
      </c>
      <c r="AZ171" s="88">
        <f>IF($Z$3="yes", 0.0162025714285716/$X171, 0.0162025714285716)</f>
        <v>1.4466581632653214E-2</v>
      </c>
      <c r="BA171" s="88">
        <f>IF($Z$3="yes", 0.0446739999999998/$X171, 0.0446739999999998)</f>
        <v>3.9887499999999812E-2</v>
      </c>
      <c r="BB171" s="88">
        <f>IF($Z$3="yes", 0.00871800000000067/$X171, 0.00871800000000067)</f>
        <v>7.7839285714291686E-3</v>
      </c>
      <c r="BC171" s="88">
        <f>IF($Z$3="yes", 0.0210734285714282/$X171, 0.0210734285714282)</f>
        <v>1.8815561224489463E-2</v>
      </c>
      <c r="BD171" s="88">
        <f>IF($Z$3="yes", 0.00739800000000001/$X171, 0.00739800000000001)</f>
        <v>6.6053571428571507E-3</v>
      </c>
      <c r="BE171" s="88">
        <f>IF($Z$3="yes", 0.0297914285714289/$X171, 0.0297914285714289)</f>
        <v>2.6599489795918658E-2</v>
      </c>
      <c r="BF171" s="88">
        <f>IF($Z$3="yes", 0.00132000000000065/$X171, 0.00132000000000065)</f>
        <v>1.1785714285720088E-3</v>
      </c>
      <c r="BG171" s="88">
        <f>IF($Z$3="yes", 0.0284714285714282/$X171, 0.0284714285714282)</f>
        <v>2.5420918367346605E-2</v>
      </c>
      <c r="BH171" s="88">
        <f>IF($Z$3="yes", 0.153249551020408/$X171, 0.153249551020408)</f>
        <v>0.13682995626822142</v>
      </c>
      <c r="BI171" s="68"/>
      <c r="BJ171" s="68"/>
      <c r="BK171" s="68">
        <f>IF($BL$3="yes", MAX(0, (742496 - 1892420.4) / 1712079.45579036), 1892420.4)</f>
        <v>1892420.4</v>
      </c>
      <c r="BL171" s="68">
        <f>IF($BL$3="yes", MAX(0, (742496 - 1373211.8) / 1383293.75917357), 1373211.8)</f>
        <v>1373211.8</v>
      </c>
      <c r="BM171" s="68">
        <f>IF($BL$3="yes", MAX(0, (742496 - 1108946.6) / 1054986.9251817), 1108946.6)</f>
        <v>1108946.6000000001</v>
      </c>
      <c r="BN171" s="68">
        <f>IF($BL$3="yes", MAX(0, (742496 - 1769095.72) / 2134775.51680985), 1769095.72)</f>
        <v>1769095.72</v>
      </c>
      <c r="BO171" s="68">
        <f>IF($BL$3="yes", MAX(0, (742496 - 1485026.21) / 1936504.7115143), 1485026.21)</f>
        <v>1485026.21</v>
      </c>
      <c r="BP171" s="68">
        <f>IF($BL$3="yes", MAX(0, (742496 - 1699734.585) / 6805226.9647599), 1699734.585)</f>
        <v>1699734.585</v>
      </c>
      <c r="BQ171" s="68">
        <v>50.244617027010051</v>
      </c>
      <c r="BR171" s="68"/>
      <c r="BS171" s="68"/>
      <c r="BT171" s="68">
        <v>3449177.3164775372</v>
      </c>
      <c r="BU171" s="68">
        <v>-1035116.595682885</v>
      </c>
      <c r="BV171" s="68">
        <f>IF($Z$3="yes", 0.113031532059938/$X171, 0.113031532059938)</f>
        <v>0.10092101076780177</v>
      </c>
      <c r="BW171" s="68">
        <f>IF($Z$3="yes", 0.103762775045088/$X171, 0.103762775045088)</f>
        <v>9.2645334861685705E-2</v>
      </c>
      <c r="BX171" s="68">
        <f>$BW$140 - $BV$140</f>
        <v>4.2897117777395355E-2</v>
      </c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81"/>
      <c r="CR171" s="81"/>
      <c r="CS171" s="68"/>
      <c r="CT171" s="68"/>
      <c r="CU171" s="68"/>
    </row>
    <row r="172" spans="1:99" ht="15.75" customHeight="1" thickBot="1" x14ac:dyDescent="0.3">
      <c r="A172" s="84" t="s">
        <v>194</v>
      </c>
      <c r="B172" s="67" t="s">
        <v>128</v>
      </c>
      <c r="C172" s="83" t="s">
        <v>513</v>
      </c>
      <c r="D172" s="67" t="s">
        <v>519</v>
      </c>
      <c r="E172" s="67">
        <v>1</v>
      </c>
      <c r="F172" s="85">
        <v>0.92</v>
      </c>
      <c r="G172" s="313">
        <v>44277</v>
      </c>
      <c r="H172" s="317">
        <v>0.58599999999999997</v>
      </c>
      <c r="I172" s="85">
        <v>0.93</v>
      </c>
      <c r="J172" s="313">
        <v>44278</v>
      </c>
      <c r="K172" s="125">
        <f t="shared" si="6"/>
        <v>-0.36304347826086958</v>
      </c>
      <c r="L172" s="100">
        <f t="shared" si="7"/>
        <v>1.0869565217391353E-2</v>
      </c>
      <c r="M172" s="312">
        <v>44407</v>
      </c>
      <c r="N172" s="68"/>
      <c r="O172" s="292">
        <v>75640204</v>
      </c>
      <c r="P172" s="292">
        <v>38020000</v>
      </c>
      <c r="Q172" s="291">
        <v>1</v>
      </c>
      <c r="R172" s="198" t="s">
        <v>147</v>
      </c>
      <c r="S172" s="198" t="s">
        <v>135</v>
      </c>
      <c r="T172" s="198" t="s">
        <v>292</v>
      </c>
      <c r="U172" s="198">
        <v>172</v>
      </c>
      <c r="V172" s="198">
        <v>1082069</v>
      </c>
      <c r="W172" s="198"/>
      <c r="X172" s="198">
        <v>0.91690000000000005</v>
      </c>
      <c r="Y172" s="198">
        <v>1.1203005000000019</v>
      </c>
      <c r="Z172" s="198">
        <v>1.0550580000000001</v>
      </c>
      <c r="AA172" s="198">
        <v>1.0986400000000001</v>
      </c>
      <c r="AB172" s="198">
        <v>1.1283879999999999</v>
      </c>
      <c r="AC172" s="198">
        <v>0.91710000000000014</v>
      </c>
      <c r="AD172" s="198">
        <v>0.8980928571428578</v>
      </c>
      <c r="AE172" s="198">
        <v>0.92008750000000106</v>
      </c>
      <c r="AF172" s="198">
        <f>IF($Z$3="yes", -0.00141333795844913/$X172, -0.00141333795844913)</f>
        <v>-1.5414308631793324E-3</v>
      </c>
      <c r="AG172" s="198">
        <f>IF($Z$3="yes", 0.000735451545154476/$X172, 0.000735451545154476)</f>
        <v>8.021066039420612E-4</v>
      </c>
      <c r="AH172" s="198">
        <f>IF($Z$3="yes", -0.00860506122448931/$X172, -0.00860506122448931)</f>
        <v>-9.3849506211029655E-3</v>
      </c>
      <c r="AI172" s="198">
        <f>IF($Z$3="yes", -0.0025532388955578/$X172, -0.0025532388955578)</f>
        <v>-2.7846427042837823E-3</v>
      </c>
      <c r="AJ172" s="198">
        <f>IF($Z$3="yes", -0.00238375939849649/$X172, -0.00238375939849649)</f>
        <v>-2.5998030303157268E-3</v>
      </c>
      <c r="AK172" s="198">
        <f>IF($Z$3="yes", 0.0051606593406584/$X172, 0.0051606593406584)</f>
        <v>5.6283775118970434E-3</v>
      </c>
      <c r="AL172" s="198">
        <f>IF($Z$3="yes", 0.0000297619047569715/$X172, 0.0000297619047569715)</f>
        <v>3.2459270102488277E-5</v>
      </c>
      <c r="AM172" s="198">
        <f>IF($Z$3="yes", 0.0652425000000027/$X172, 0.0652425000000027)</f>
        <v>7.1155524048426982E-2</v>
      </c>
      <c r="AN172" s="198">
        <f>IF($Z$3="yes", 0.0216605000000025/$X172, 0.0216605000000025)</f>
        <v>2.3623623077764749E-2</v>
      </c>
      <c r="AO172" s="198">
        <f>IF($Z$3="yes", 0.00808749999999736/$X172, 0.00808749999999736)</f>
        <v>8.8204820591093469E-3</v>
      </c>
      <c r="AP172" s="198">
        <f>IF($Z$3="yes", 0.203200500000002/$X172, 0.203200500000002)</f>
        <v>0.22161686116261534</v>
      </c>
      <c r="AQ172" s="198">
        <f>IF($Z$3="yes", 0.222207642857144/$X172, 0.222207642857144)</f>
        <v>0.24234664942430362</v>
      </c>
      <c r="AR172" s="198">
        <f>IF($Z$3="yes", 0.200213000000001/$X172, 0.200213000000001)</f>
        <v>0.21835859962918638</v>
      </c>
      <c r="AS172" s="198">
        <f>IF($Z$3="yes", 0.0435820000000002/$X172, 0.0435820000000002)</f>
        <v>4.7531900970662226E-2</v>
      </c>
      <c r="AT172" s="198">
        <f>IF($Z$3="yes", 0.0733300000000001/$X172, 0.0733300000000001)</f>
        <v>7.9976006107536371E-2</v>
      </c>
      <c r="AU172" s="199">
        <f>IF($Z$3="yes", 0.137957999999999/$X172, 0.137957999999999)</f>
        <v>0.15046133711418802</v>
      </c>
      <c r="AV172" s="199">
        <f>IF($Z$3="yes", 0.156965142857141/$X172, 0.156965142857141)</f>
        <v>0.1711911253758763</v>
      </c>
      <c r="AW172" s="199">
        <f>IF($Z$3="yes", 0.134970499999998/$X172, 0.134970499999998)</f>
        <v>0.14720307558075907</v>
      </c>
      <c r="AX172" s="199">
        <f>IF($Z$3="yes", 0.0297479999999998/$X172, 0.0297479999999998)</f>
        <v>3.2444105136874027E-2</v>
      </c>
      <c r="AY172" s="199">
        <f>IF($Z$3="yes", 0.211287999999999/$X172, 0.211287999999999)</f>
        <v>0.23043734322172429</v>
      </c>
      <c r="AZ172" s="199">
        <f>IF($Z$3="yes", 0.230295142857141/$X172, 0.230295142857141)</f>
        <v>0.25116713148341258</v>
      </c>
      <c r="BA172" s="199">
        <f>IF($Z$3="yes", 0.208300499999998/$X172, 0.208300499999998)</f>
        <v>0.22717908168829534</v>
      </c>
      <c r="BB172" s="199">
        <f>IF($Z$3="yes", 0.181539999999999/$X172, 0.181539999999999)</f>
        <v>0.19799323808485003</v>
      </c>
      <c r="BC172" s="199">
        <f>IF($Z$3="yes", 0.200547142857142/$X172, 0.200547142857142)</f>
        <v>0.21872302634653942</v>
      </c>
      <c r="BD172" s="199">
        <f>IF($Z$3="yes", 0.178552499999998/$X172, 0.178552499999998)</f>
        <v>0.19473497655142108</v>
      </c>
      <c r="BE172" s="199">
        <f>IF($Z$3="yes", 0.0190071428571423/$X172, 0.0190071428571423)</f>
        <v>2.0729788261688621E-2</v>
      </c>
      <c r="BF172" s="199">
        <f>IF($Z$3="yes", 0.00298750000000092/$X172, 0.00298750000000092)</f>
        <v>3.2582615334288581E-3</v>
      </c>
      <c r="BG172" s="199">
        <f>IF($Z$3="yes", 0.0219946428571432/$X172, 0.0219946428571432)</f>
        <v>2.3988049795117459E-2</v>
      </c>
      <c r="BH172" s="199">
        <f>IF($Z$3="yes", 0.203950248299319/$X172, 0.203950248299319)</f>
        <v>0.22243456025664629</v>
      </c>
      <c r="BI172" s="68"/>
      <c r="BJ172" s="68"/>
      <c r="BK172" s="68">
        <f>IF($BL$3="yes", MAX(0, (1082069 - 1685127.4) / 414168.292719082), 1685127.4)</f>
        <v>1685127.4</v>
      </c>
      <c r="BL172" s="68">
        <f>IF($BL$3="yes", MAX(0, (1082069 - 1719320.7) / 417623.334734794), 1719320.7)</f>
        <v>1719320.7</v>
      </c>
      <c r="BM172" s="68">
        <f>IF($BL$3="yes", MAX(0, (1082069 - 2678477.8) / 1348601.13724264), 2678477.8)</f>
        <v>2678477.7999999998</v>
      </c>
      <c r="BN172" s="68">
        <f>IF($BL$3="yes", MAX(0, (1082069 - 2788741.98) / 2190396.66787198), 2788741.98)</f>
        <v>2788741.98</v>
      </c>
      <c r="BO172" s="68">
        <f>IF($BL$3="yes", MAX(0, (1082069 - 1602158.54) / 2160691.65322932), 1602158.54)</f>
        <v>1602158.54</v>
      </c>
      <c r="BP172" s="68">
        <f>IF($BL$3="yes", MAX(0, (1082069 - 862609.365) / 1703643.18250298), 862609.365)</f>
        <v>862609.36499999999</v>
      </c>
      <c r="BQ172" s="68">
        <v>43.841500745582707</v>
      </c>
      <c r="BR172" s="68"/>
      <c r="BS172" s="68"/>
      <c r="BT172" s="68">
        <v>7203226.3977385238</v>
      </c>
      <c r="BU172" s="68">
        <v>349130.3223804459</v>
      </c>
      <c r="BV172" s="68">
        <f>IF($Z$3="yes", 0.0934443076249408/$X172, 0.0934443076249408)</f>
        <v>0.10191330311368829</v>
      </c>
      <c r="BW172" s="68">
        <f>IF($Z$3="yes", 0.129527867319563/$X172, 0.129527867319563)</f>
        <v>0.14126716906921474</v>
      </c>
      <c r="BX172" s="68">
        <f>$BW$141 - $BV$141</f>
        <v>0.17440277679920191</v>
      </c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81"/>
      <c r="CR172" s="81"/>
      <c r="CS172" s="68"/>
      <c r="CT172" s="68"/>
      <c r="CU172" s="68"/>
    </row>
    <row r="173" spans="1:99" ht="15.75" customHeight="1" thickBot="1" x14ac:dyDescent="0.3">
      <c r="A173" s="84"/>
      <c r="B173" s="67" t="s">
        <v>128</v>
      </c>
      <c r="C173" s="83" t="s">
        <v>513</v>
      </c>
      <c r="D173" s="67" t="s">
        <v>483</v>
      </c>
      <c r="E173" s="67">
        <v>1</v>
      </c>
      <c r="F173" s="85">
        <v>1.39</v>
      </c>
      <c r="G173" s="313">
        <v>44277</v>
      </c>
      <c r="H173" s="317">
        <v>0.87619999999999998</v>
      </c>
      <c r="I173" s="85">
        <v>1.42</v>
      </c>
      <c r="J173" s="313">
        <v>44279</v>
      </c>
      <c r="K173" s="125">
        <f t="shared" si="6"/>
        <v>-0.36964028776978419</v>
      </c>
      <c r="L173" s="87">
        <f t="shared" si="7"/>
        <v>2.1582733812949728E-2</v>
      </c>
      <c r="M173" s="312">
        <v>44407</v>
      </c>
      <c r="N173" s="68"/>
      <c r="O173" s="291">
        <v>89531146</v>
      </c>
      <c r="P173" s="291">
        <v>82540000</v>
      </c>
      <c r="Q173" s="291">
        <v>2</v>
      </c>
      <c r="R173" s="68" t="s">
        <v>131</v>
      </c>
      <c r="S173" s="68" t="s">
        <v>157</v>
      </c>
      <c r="T173" s="68" t="s">
        <v>154</v>
      </c>
      <c r="U173" s="68">
        <v>1384</v>
      </c>
      <c r="V173" s="68">
        <v>17515585</v>
      </c>
      <c r="W173" s="68"/>
      <c r="X173" s="68">
        <v>1.39</v>
      </c>
      <c r="Y173" s="68">
        <v>0.88728449999999781</v>
      </c>
      <c r="Z173" s="68">
        <v>0.99613100000000065</v>
      </c>
      <c r="AA173" s="68">
        <v>1.3772</v>
      </c>
      <c r="AB173" s="68">
        <v>1.289018</v>
      </c>
      <c r="AC173" s="68">
        <v>1.226</v>
      </c>
      <c r="AD173" s="68">
        <v>1.2128571428571431</v>
      </c>
      <c r="AE173" s="68">
        <v>1.29125</v>
      </c>
      <c r="AF173" s="68">
        <f>IF($Z$3="yes", 0.0026426680417012/$X173, 0.0026426680417012)</f>
        <v>1.9012000300008636E-3</v>
      </c>
      <c r="AG173" s="68">
        <f>IF($Z$3="yes", 0.0122324026402638/$X173, 0.0122324026402638)</f>
        <v>8.8002896692545331E-3</v>
      </c>
      <c r="AH173" s="68">
        <f>IF($Z$3="yes", -0.00103817527010809/$X173, -0.00103817527010809)</f>
        <v>-7.4688868353100016E-4</v>
      </c>
      <c r="AI173" s="68">
        <f>IF($Z$3="yes", 0.0129223961584632/$X173, 0.0129223961584632)</f>
        <v>9.296687883786476E-3</v>
      </c>
      <c r="AJ173" s="68">
        <f>IF($Z$3="yes", 0.00563909774436103/$X173, 0.00563909774436103)</f>
        <v>4.0569048520582955E-3</v>
      </c>
      <c r="AK173" s="68">
        <f>IF($Z$3="yes", 0.0251428571428569/$X173, 0.0251428571428569)</f>
        <v>1.8088386433710003E-2</v>
      </c>
      <c r="AL173" s="68">
        <f>IF($Z$3="yes", 0.0248809523809542/$X173, 0.0248809523809542)</f>
        <v>1.7899965741693672E-2</v>
      </c>
      <c r="AM173" s="68">
        <f>IF($Z$3="yes", 0.108846500000002/$X173, 0.108846500000002)</f>
        <v>7.8306834532375538E-2</v>
      </c>
      <c r="AN173" s="68">
        <f>IF($Z$3="yes", 0.489915500000001/$X173, 0.489915500000001)</f>
        <v>0.35245719424460509</v>
      </c>
      <c r="AO173" s="68">
        <f>IF($Z$3="yes", 0.401733500000002/$X173, 0.401733500000002)</f>
        <v>0.28901690647482164</v>
      </c>
      <c r="AP173" s="68">
        <f>IF($Z$3="yes", 0.338715500000001/$X173, 0.338715500000001)</f>
        <v>0.24368021582733887</v>
      </c>
      <c r="AQ173" s="68">
        <f>IF($Z$3="yes", 0.325572642857144/$X173, 0.325572642857144)</f>
        <v>0.23422492291880864</v>
      </c>
      <c r="AR173" s="68">
        <f>IF($Z$3="yes", 0.403965500000002/$X173, 0.403965500000002)</f>
        <v>0.29062266187050506</v>
      </c>
      <c r="AS173" s="68">
        <f>IF($Z$3="yes", 0.381068999999999/$X173, 0.381068999999999)</f>
        <v>0.27415035971222951</v>
      </c>
      <c r="AT173" s="68">
        <f>IF($Z$3="yes", 0.292886999999999/$X173, 0.292886999999999)</f>
        <v>0.21071007194244534</v>
      </c>
      <c r="AU173" s="88">
        <f>IF($Z$3="yes", 0.229868999999998/$X173, 0.229868999999998)</f>
        <v>0.1653733812949626</v>
      </c>
      <c r="AV173" s="88">
        <f>IF($Z$3="yes", 0.216726142857141/$X173, 0.216726142857141)</f>
        <v>0.1559180883864324</v>
      </c>
      <c r="AW173" s="88">
        <f>IF($Z$3="yes", 0.295118999999999/$X173, 0.295118999999999)</f>
        <v>0.21231582733812882</v>
      </c>
      <c r="AX173" s="88">
        <f>IF($Z$3="yes", 0.0881819999999995/$X173, 0.0881819999999995)</f>
        <v>6.3440287769783818E-2</v>
      </c>
      <c r="AY173" s="88">
        <f>IF($Z$3="yes", 0.0630180000000006/$X173, 0.0630180000000006)</f>
        <v>4.5336690647482449E-2</v>
      </c>
      <c r="AZ173" s="88">
        <f>IF($Z$3="yes", 0.0761608571428575/$X173, 0.0761608571428575)</f>
        <v>5.4791983556012593E-2</v>
      </c>
      <c r="BA173" s="88">
        <f>IF($Z$3="yes", 0.00223199999999956/$X173, 0.00223199999999956)</f>
        <v>1.6057553956831368E-3</v>
      </c>
      <c r="BB173" s="88">
        <f>IF($Z$3="yes", 0.1512/$X173, 0.1512)</f>
        <v>0.10877697841726619</v>
      </c>
      <c r="BC173" s="88">
        <f>IF($Z$3="yes", 0.164342857142857/$X173, 0.164342857142857)</f>
        <v>0.11823227132579642</v>
      </c>
      <c r="BD173" s="88">
        <f>IF($Z$3="yes", 0.0859499999999999/$X173, 0.0859499999999999)</f>
        <v>6.1834532374100651E-2</v>
      </c>
      <c r="BE173" s="88">
        <f>IF($Z$3="yes", 0.0131428571428569/$X173, 0.0131428571428569)</f>
        <v>9.4552929085301458E-3</v>
      </c>
      <c r="BF173" s="88">
        <f>IF($Z$3="yes", 0.0652500000000002/$X173, 0.0652500000000002)</f>
        <v>4.6942446043165616E-2</v>
      </c>
      <c r="BG173" s="88">
        <f>IF($Z$3="yes", 0.0783928571428571/$X173, 0.0783928571428571)</f>
        <v>5.639773895169576E-2</v>
      </c>
      <c r="BH173" s="88">
        <f>IF($Z$3="yes", 0.294173136054421/$X173, 0.294173136054421)</f>
        <v>0.21163534967943959</v>
      </c>
      <c r="BI173" s="68"/>
      <c r="BJ173" s="68"/>
      <c r="BK173" s="68">
        <f>IF($BL$3="yes", MAX(0, (17515585 - 14754794.2) / 2228311.19583404), 14754794.2)</f>
        <v>14754794.199999999</v>
      </c>
      <c r="BL173" s="68">
        <f>IF($BL$3="yes", MAX(0, (17515585 - 14190173.2) / 4850292.45376205), 14190173.2)</f>
        <v>14190173.199999999</v>
      </c>
      <c r="BM173" s="68">
        <f>IF($BL$3="yes", MAX(0, (17515585 - 15077055.1) / 6294134.03833175), 15077055.1)</f>
        <v>15077055.1</v>
      </c>
      <c r="BN173" s="68">
        <f>IF($BL$3="yes", MAX(0, (17515585 - 18111621.14) / 23415710.8364946), 18111621.14)</f>
        <v>18111621.140000001</v>
      </c>
      <c r="BO173" s="68">
        <f>IF($BL$3="yes", MAX(0, (17515585 - 13339641.19) / 26200901.675592), 13339641.19)</f>
        <v>13339641.189999999</v>
      </c>
      <c r="BP173" s="68">
        <f>IF($BL$3="yes", MAX(0, (17515585 - 8376515.42) / 19474837.633006), 8376515.42)</f>
        <v>8376515.4199999999</v>
      </c>
      <c r="BQ173" s="68">
        <v>53.713552252872937</v>
      </c>
      <c r="BR173" s="68"/>
      <c r="BS173" s="68"/>
      <c r="BT173" s="68">
        <v>-115038355.8205519</v>
      </c>
      <c r="BU173" s="68">
        <v>9629478.5362797827</v>
      </c>
      <c r="BV173" s="68">
        <f>IF($Z$3="yes", 0.183362837069041/$X173, 0.183362837069041)</f>
        <v>0.13191571012161224</v>
      </c>
      <c r="BW173" s="68">
        <f>IF($Z$3="yes", 0.209335139781053/$X173, 0.209335139781053)</f>
        <v>0.15060081998636907</v>
      </c>
      <c r="BX173" s="68">
        <f>$BW$187 - $BV$187</f>
        <v>-1.6863762486856004E-2</v>
      </c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81"/>
      <c r="CR173" s="81"/>
      <c r="CS173" s="68"/>
      <c r="CT173" s="68"/>
      <c r="CU173" s="68"/>
    </row>
    <row r="174" spans="1:99" ht="15.75" customHeight="1" thickBot="1" x14ac:dyDescent="0.3">
      <c r="A174" s="84"/>
      <c r="B174" s="67" t="s">
        <v>128</v>
      </c>
      <c r="C174" s="83" t="s">
        <v>513</v>
      </c>
      <c r="D174" s="67" t="s">
        <v>520</v>
      </c>
      <c r="E174" s="67">
        <v>1</v>
      </c>
      <c r="F174" s="85">
        <v>0.8</v>
      </c>
      <c r="G174" s="313">
        <v>44277</v>
      </c>
      <c r="H174" s="317">
        <v>0.46610000000000001</v>
      </c>
      <c r="I174" s="85">
        <v>0.80900000000000005</v>
      </c>
      <c r="J174" s="313">
        <v>44278</v>
      </c>
      <c r="K174" s="125">
        <f t="shared" si="6"/>
        <v>-0.41737500000000005</v>
      </c>
      <c r="L174" s="202">
        <f t="shared" si="7"/>
        <v>1.1249999999999982E-2</v>
      </c>
      <c r="M174" s="312">
        <v>44407</v>
      </c>
      <c r="N174" s="68"/>
      <c r="O174" s="291">
        <v>92817493</v>
      </c>
      <c r="P174" s="291">
        <v>92770000</v>
      </c>
      <c r="Q174" s="291">
        <v>1</v>
      </c>
      <c r="R174" s="68" t="s">
        <v>131</v>
      </c>
      <c r="S174" s="68" t="s">
        <v>148</v>
      </c>
      <c r="T174" s="67" t="s">
        <v>271</v>
      </c>
      <c r="U174" s="68">
        <v>216</v>
      </c>
      <c r="V174" s="68">
        <v>6434164</v>
      </c>
      <c r="W174" s="68"/>
      <c r="X174" s="68">
        <v>0.79</v>
      </c>
      <c r="Y174" s="68">
        <v>1.3057899999999969</v>
      </c>
      <c r="Z174" s="68">
        <v>0.81654600000000033</v>
      </c>
      <c r="AA174" s="68">
        <v>0.9914599999999999</v>
      </c>
      <c r="AB174" s="68">
        <v>0.98268399999999989</v>
      </c>
      <c r="AC174" s="68">
        <v>0.85385000000000033</v>
      </c>
      <c r="AD174" s="68">
        <v>0.81380000000000052</v>
      </c>
      <c r="AE174" s="68">
        <v>0.82860000000000023</v>
      </c>
      <c r="AF174" s="68">
        <f>IF($Z$3="yes", -0.0102153708842717/$X174, -0.0102153708842717)</f>
        <v>-1.2930849220597089E-2</v>
      </c>
      <c r="AG174" s="68">
        <f>IF($Z$3="yes", 0.00552205820582052/$X174, 0.00552205820582052)</f>
        <v>6.9899470959753421E-3</v>
      </c>
      <c r="AH174" s="68">
        <f>IF($Z$3="yes", -0.00500644417767069/$X174, -0.00500644417767069)</f>
        <v>-6.3372711109755571E-3</v>
      </c>
      <c r="AI174" s="68">
        <f>IF($Z$3="yes", 0.00387331572629089/$X174, 0.00387331572629089)</f>
        <v>4.9029312991023923E-3</v>
      </c>
      <c r="AJ174" s="68">
        <f>IF($Z$3="yes", -0.00762195488721775/$X174, -0.00762195488721775)</f>
        <v>-9.6480441610351259E-3</v>
      </c>
      <c r="AK174" s="68">
        <f>IF($Z$3="yes", 0.00355912087912011/$X174, 0.00355912087912011)</f>
        <v>4.5052163026836831E-3</v>
      </c>
      <c r="AL174" s="68">
        <f>IF($Z$3="yes", -0.00186904761905121/$X174, -0.00186904761905121)</f>
        <v>-2.3658830620901391E-3</v>
      </c>
      <c r="AM174" s="68">
        <f>IF($Z$3="yes", 0.489243999999996/$X174, 0.489243999999996)</f>
        <v>0.61929620253164053</v>
      </c>
      <c r="AN174" s="68">
        <f>IF($Z$3="yes", 0.314329999999997/$X174, 0.314329999999997)</f>
        <v>0.39788607594936326</v>
      </c>
      <c r="AO174" s="68">
        <f>IF($Z$3="yes", 0.323105999999997/$X174, 0.323105999999997)</f>
        <v>0.40899493670885695</v>
      </c>
      <c r="AP174" s="68">
        <f>IF($Z$3="yes", 0.451939999999996/$X174, 0.451939999999996)</f>
        <v>0.5720759493670835</v>
      </c>
      <c r="AQ174" s="68">
        <f>IF($Z$3="yes", 0.491989999999996/$X174, 0.491989999999996)</f>
        <v>0.62277215189872903</v>
      </c>
      <c r="AR174" s="68">
        <f>IF($Z$3="yes", 0.477189999999996/$X174, 0.477189999999996)</f>
        <v>0.60403797468353926</v>
      </c>
      <c r="AS174" s="68">
        <f>IF($Z$3="yes", 0.174913999999999/$X174, 0.174913999999999)</f>
        <v>0.22141012658227718</v>
      </c>
      <c r="AT174" s="68">
        <f>IF($Z$3="yes", 0.166137999999999/$X174, 0.166137999999999)</f>
        <v>0.21030126582278355</v>
      </c>
      <c r="AU174" s="88">
        <f>IF($Z$3="yes", 0.037304/$X174, 0.037304)</f>
        <v>4.7220253164556955E-2</v>
      </c>
      <c r="AV174" s="88">
        <f>IF($Z$3="yes", 0.0027459999999998/$X174, 0.0027459999999998)</f>
        <v>3.475949367088354E-3</v>
      </c>
      <c r="AW174" s="88">
        <f>IF($Z$3="yes", 0.0120539999999998/$X174, 0.0120539999999998)</f>
        <v>1.5258227848101011E-2</v>
      </c>
      <c r="AX174" s="88">
        <f>IF($Z$3="yes", 0.008776/$X174, 0.008776)</f>
        <v>1.1108860759493671E-2</v>
      </c>
      <c r="AY174" s="88">
        <f>IF($Z$3="yes", 0.128833999999999/$X174, 0.128833999999999)</f>
        <v>0.16308101265822658</v>
      </c>
      <c r="AZ174" s="88">
        <f>IF($Z$3="yes", 0.168883999999999/$X174, 0.168883999999999)</f>
        <v>0.21377721518987214</v>
      </c>
      <c r="BA174" s="88">
        <f>IF($Z$3="yes", 0.154083999999999/$X174, 0.154083999999999)</f>
        <v>0.19504303797468228</v>
      </c>
      <c r="BB174" s="88">
        <f>IF($Z$3="yes", 0.137609999999999/$X174, 0.137609999999999)</f>
        <v>0.17418987341772027</v>
      </c>
      <c r="BC174" s="88">
        <f>IF($Z$3="yes", 0.177659999999999/$X174, 0.177659999999999)</f>
        <v>0.22488607594936583</v>
      </c>
      <c r="BD174" s="88">
        <f>IF($Z$3="yes", 0.162859999999999/$X174, 0.162859999999999)</f>
        <v>0.20615189873417594</v>
      </c>
      <c r="BE174" s="88">
        <f>IF($Z$3="yes", 0.0400499999999998/$X174, 0.0400499999999998)</f>
        <v>5.0696202531645314E-2</v>
      </c>
      <c r="BF174" s="88">
        <f>IF($Z$3="yes", 0.0252500000000001/$X174, 0.0252500000000001)</f>
        <v>3.1962025316455818E-2</v>
      </c>
      <c r="BG174" s="88">
        <f>IF($Z$3="yes", 0.0147999999999997/$X174, 0.0147999999999997)</f>
        <v>1.8734177215189492E-2</v>
      </c>
      <c r="BH174" s="88">
        <f>IF($Z$3="yes", 0.228504285714284/$X174, 0.228504285714284)</f>
        <v>0.2892459312839038</v>
      </c>
      <c r="BI174" s="68"/>
      <c r="BJ174" s="68"/>
      <c r="BK174" s="68">
        <f>IF($BL$3="yes", MAX(0, (6434164 - 8422561.8) / 5764721.72017409), 8422561.8)</f>
        <v>8422561.8000000007</v>
      </c>
      <c r="BL174" s="68">
        <f>IF($BL$3="yes", MAX(0, (6434164 - 6400243.7) / 4618265.78658145), 6400243.7)</f>
        <v>6400243.7000000002</v>
      </c>
      <c r="BM174" s="68">
        <f>IF($BL$3="yes", MAX(0, (6434164 - 4953415) / 3656494.55721233), 4953415)</f>
        <v>4953415</v>
      </c>
      <c r="BN174" s="68">
        <f>IF($BL$3="yes", MAX(0, (6434164 - 5724366.5) / 3990115.33036111), 5724366.5)</f>
        <v>5724366.5</v>
      </c>
      <c r="BO174" s="68">
        <f>IF($BL$3="yes", MAX(0, (6434164 - 5991513.18) / 11205535.1809443), 5991513.18)</f>
        <v>5991513.1799999997</v>
      </c>
      <c r="BP174" s="68">
        <f>IF($BL$3="yes", MAX(0, (6434164 - 3384990.625) / 8553801.54127524), 3384990.625)</f>
        <v>3384990.625</v>
      </c>
      <c r="BQ174" s="68">
        <v>41.322501921922623</v>
      </c>
      <c r="BR174" s="68"/>
      <c r="BS174" s="68"/>
      <c r="BT174" s="68">
        <v>-30828184.928216141</v>
      </c>
      <c r="BU174" s="68">
        <v>-5281005.5768784508</v>
      </c>
      <c r="BV174" s="68">
        <f>IF($Z$3="yes", 0.101733745320812/$X174, 0.101733745320812)</f>
        <v>0.12877689281115443</v>
      </c>
      <c r="BW174" s="68">
        <f>IF($Z$3="yes", 0.133382958690954/$X174, 0.133382958690954)</f>
        <v>0.16883918821639748</v>
      </c>
      <c r="BX174" s="68">
        <f>$BW$143 - $BV$143</f>
        <v>0.23042795302291369</v>
      </c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81"/>
      <c r="CR174" s="81"/>
      <c r="CS174" s="68"/>
      <c r="CT174" s="68"/>
      <c r="CU174" s="68"/>
    </row>
    <row r="175" spans="1:99" ht="15.75" customHeight="1" thickBot="1" x14ac:dyDescent="0.3">
      <c r="A175" s="84"/>
      <c r="B175" s="67" t="s">
        <v>128</v>
      </c>
      <c r="C175" s="83" t="s">
        <v>513</v>
      </c>
      <c r="D175" s="67" t="s">
        <v>521</v>
      </c>
      <c r="E175" s="67">
        <v>1</v>
      </c>
      <c r="F175" s="85">
        <v>2.34</v>
      </c>
      <c r="G175" s="313">
        <v>44277</v>
      </c>
      <c r="H175" s="317">
        <v>1.37</v>
      </c>
      <c r="I175" s="85">
        <v>2.34</v>
      </c>
      <c r="J175" s="67"/>
      <c r="K175" s="125">
        <f t="shared" si="6"/>
        <v>-0.4145299145299145</v>
      </c>
      <c r="L175" s="100">
        <f t="shared" si="7"/>
        <v>0</v>
      </c>
      <c r="M175" s="312">
        <v>44407</v>
      </c>
      <c r="N175" s="68"/>
      <c r="O175" s="291">
        <v>125033006</v>
      </c>
      <c r="P175" s="291">
        <v>123760000</v>
      </c>
      <c r="Q175" s="291"/>
      <c r="R175" s="68" t="s">
        <v>131</v>
      </c>
      <c r="S175" s="68" t="s">
        <v>148</v>
      </c>
      <c r="T175" s="68" t="s">
        <v>154</v>
      </c>
      <c r="U175" s="68">
        <v>1288</v>
      </c>
      <c r="V175" s="68">
        <v>3351521</v>
      </c>
      <c r="W175" s="68"/>
      <c r="X175" s="68">
        <v>2.34</v>
      </c>
      <c r="Y175" s="68">
        <v>3.610407500000016</v>
      </c>
      <c r="Z175" s="68">
        <v>1.7774700000000041</v>
      </c>
      <c r="AA175" s="68">
        <v>2.2881000000000031</v>
      </c>
      <c r="AB175" s="68">
        <v>2.1093000000000042</v>
      </c>
      <c r="AC175" s="68">
        <v>2.2209999999999992</v>
      </c>
      <c r="AD175" s="68">
        <v>2.1564285714285711</v>
      </c>
      <c r="AE175" s="68">
        <v>2.271250000000002</v>
      </c>
      <c r="AF175" s="68">
        <f>IF($Z$3="yes", -0.0353184014850383/$X175, -0.0353184014850383)</f>
        <v>-1.5093333967965087E-2</v>
      </c>
      <c r="AG175" s="68">
        <f>IF($Z$3="yes", 0.0174936921692165/$X175, 0.0174936921692165)</f>
        <v>7.4759368244514965E-3</v>
      </c>
      <c r="AH175" s="68">
        <f>IF($Z$3="yes", 0.00985906362544878/$X175, 0.00985906362544878)</f>
        <v>4.2132750536105906E-3</v>
      </c>
      <c r="AI175" s="68">
        <f>IF($Z$3="yes", 0.0294432172869134/$X175, 0.0294432172869134)</f>
        <v>1.2582571490133932E-2</v>
      </c>
      <c r="AJ175" s="68">
        <f>IF($Z$3="yes", -0.00496240601503567/$X175, -0.00496240601503567)</f>
        <v>-2.120686331211825E-3</v>
      </c>
      <c r="AK175" s="68">
        <f>IF($Z$3="yes", 0.0282417582417577/$X175, 0.0282417582417577)</f>
        <v>1.2069127453742607E-2</v>
      </c>
      <c r="AL175" s="68">
        <f>IF($Z$3="yes", -0.000595238095234847/$X175, -0.000595238095234847)</f>
        <v>-2.5437525437386625E-4</v>
      </c>
      <c r="AM175" s="68">
        <f>IF($Z$3="yes", 1.83293750000001/$X175, 1.83293750000001)</f>
        <v>0.78330662393162831</v>
      </c>
      <c r="AN175" s="68">
        <f>IF($Z$3="yes", 1.32230750000001/$X175, 1.32230750000001)</f>
        <v>0.56508867521367956</v>
      </c>
      <c r="AO175" s="68">
        <f>IF($Z$3="yes", 1.50110750000001/$X175, 1.50110750000001)</f>
        <v>0.6414989316239359</v>
      </c>
      <c r="AP175" s="68">
        <f>IF($Z$3="yes", 1.38940750000001/$X175, 1.38940750000001)</f>
        <v>0.5937638888888932</v>
      </c>
      <c r="AQ175" s="68">
        <f>IF($Z$3="yes", 1.45397892857144/$X175, 1.45397892857144)</f>
        <v>0.62135851648352136</v>
      </c>
      <c r="AR175" s="68">
        <f>IF($Z$3="yes", 1.33915750000001/$X175, 1.33915750000001)</f>
        <v>0.57228952991453419</v>
      </c>
      <c r="AS175" s="68">
        <f>IF($Z$3="yes", 0.510629999999999/$X175, 0.510629999999999)</f>
        <v>0.21821794871794831</v>
      </c>
      <c r="AT175" s="68">
        <f>IF($Z$3="yes", 0.33183/$X175, 0.33183)</f>
        <v>0.14180769230769233</v>
      </c>
      <c r="AU175" s="88">
        <f>IF($Z$3="yes", 0.443529999999995/$X175, 0.443529999999995)</f>
        <v>0.18954273504273292</v>
      </c>
      <c r="AV175" s="88">
        <f>IF($Z$3="yes", 0.378958571428567/$X175, 0.378958571428567)</f>
        <v>0.16194810744810556</v>
      </c>
      <c r="AW175" s="88">
        <f>IF($Z$3="yes", 0.493779999999998/$X175, 0.493779999999998)</f>
        <v>0.21101709401709318</v>
      </c>
      <c r="AX175" s="88">
        <f>IF($Z$3="yes", 0.178799999999999/$X175, 0.178799999999999)</f>
        <v>7.6410256410255978E-2</v>
      </c>
      <c r="AY175" s="88">
        <f>IF($Z$3="yes", 0.111699999999995/$X175, 0.111699999999995)</f>
        <v>4.7735042735040603E-2</v>
      </c>
      <c r="AZ175" s="88">
        <f>IF($Z$3="yes", 0.0471285714285674/$X175, 0.0471285714285674)</f>
        <v>2.0140415140413419E-2</v>
      </c>
      <c r="BA175" s="88">
        <f>IF($Z$3="yes", 0.161949999999998/$X175, 0.161949999999998)</f>
        <v>6.9209401709400861E-2</v>
      </c>
      <c r="BB175" s="88">
        <f>IF($Z$3="yes", 0.0671000000000039/$X175, 0.0671000000000039)</f>
        <v>2.8675213675215347E-2</v>
      </c>
      <c r="BC175" s="88">
        <f>IF($Z$3="yes", 0.131671428571432/$X175, 0.131671428571432)</f>
        <v>5.6269841269842732E-2</v>
      </c>
      <c r="BD175" s="88">
        <f>IF($Z$3="yes", 0.0168500000000006/$X175, 0.0168500000000006)</f>
        <v>7.2008547008549579E-3</v>
      </c>
      <c r="BE175" s="88">
        <f>IF($Z$3="yes", 0.064571428571428/$X175, 0.064571428571428)</f>
        <v>2.7594627594627354E-2</v>
      </c>
      <c r="BF175" s="88">
        <f>IF($Z$3="yes", 0.0502500000000032/$X175, 0.0502500000000032)</f>
        <v>2.1474358974360345E-2</v>
      </c>
      <c r="BG175" s="88">
        <f>IF($Z$3="yes", 0.114821428571431/$X175, 0.114821428571431)</f>
        <v>4.9068986568987609E-2</v>
      </c>
      <c r="BH175" s="88">
        <f>IF($Z$3="yes", 0.629281020408165/$X175, 0.629281020408165)</f>
        <v>0.26892351299494233</v>
      </c>
      <c r="BI175" s="68"/>
      <c r="BJ175" s="68"/>
      <c r="BK175" s="68">
        <f>IF($BL$3="yes", MAX(0, (3351521 - 5529607.6) / 1568244.50470245), 5529607.6)</f>
        <v>5529607.5999999996</v>
      </c>
      <c r="BL175" s="68">
        <f>IF($BL$3="yes", MAX(0, (3351521 - 6301125) / 1677789.18340398), 6301125)</f>
        <v>6301125</v>
      </c>
      <c r="BM175" s="68">
        <f>IF($BL$3="yes", MAX(0, (3351521 - 8331402.3) / 4061414.49676108), 8331402.3)</f>
        <v>8331402.2999999998</v>
      </c>
      <c r="BN175" s="68">
        <f>IF($BL$3="yes", MAX(0, (3351521 - 17087686) / 16340023.8964118), 17087686)</f>
        <v>17087686</v>
      </c>
      <c r="BO175" s="68">
        <f>IF($BL$3="yes", MAX(0, (3351521 - 11372449.17) / 13748747.5838749), 11372449.17)</f>
        <v>11372449.17</v>
      </c>
      <c r="BP175" s="68">
        <f>IF($BL$3="yes", MAX(0, (3351521 - 7590919.605) / 11307849.119489), 7590919.605)</f>
        <v>7590919.6050000004</v>
      </c>
      <c r="BQ175" s="68">
        <v>52.593285243498038</v>
      </c>
      <c r="BR175" s="68"/>
      <c r="BS175" s="68"/>
      <c r="BT175" s="68">
        <v>68937665.099420071</v>
      </c>
      <c r="BU175" s="68">
        <v>2345275.1588647892</v>
      </c>
      <c r="BV175" s="68">
        <f>IF($Z$3="yes", 0.272715254503229/$X175, 0.272715254503229)</f>
        <v>0.11654498055693546</v>
      </c>
      <c r="BW175" s="68">
        <f>IF($Z$3="yes", 0.27661240845635/$X175, 0.27661240845635)</f>
        <v>0.11821043096425214</v>
      </c>
      <c r="BX175" s="68">
        <f>$BW$144 - $BV$144</f>
        <v>-1.8073215462521885E-2</v>
      </c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81"/>
      <c r="CR175" s="81"/>
      <c r="CS175" s="68"/>
      <c r="CT175" s="68"/>
      <c r="CU175" s="68"/>
    </row>
    <row r="176" spans="1:99" ht="15.75" customHeight="1" thickBot="1" x14ac:dyDescent="0.3">
      <c r="A176" s="84" t="s">
        <v>522</v>
      </c>
      <c r="B176" s="67" t="s">
        <v>128</v>
      </c>
      <c r="C176" s="83" t="s">
        <v>523</v>
      </c>
      <c r="D176" s="67" t="s">
        <v>315</v>
      </c>
      <c r="E176" s="67">
        <v>1</v>
      </c>
      <c r="F176" s="85">
        <v>2.66</v>
      </c>
      <c r="G176" s="313">
        <v>44257</v>
      </c>
      <c r="H176" s="317">
        <v>1.35</v>
      </c>
      <c r="I176" s="85">
        <v>3.13</v>
      </c>
      <c r="J176" s="313">
        <v>44258</v>
      </c>
      <c r="K176" s="125">
        <f t="shared" si="6"/>
        <v>-0.49248120300751874</v>
      </c>
      <c r="L176" s="121">
        <f t="shared" si="7"/>
        <v>0.17669172932330812</v>
      </c>
      <c r="M176" s="312">
        <v>44407</v>
      </c>
      <c r="N176" s="68"/>
      <c r="O176" s="291">
        <v>24426993</v>
      </c>
      <c r="P176" s="291">
        <v>22840000</v>
      </c>
      <c r="Q176" s="291">
        <v>1</v>
      </c>
      <c r="R176" s="68" t="s">
        <v>131</v>
      </c>
      <c r="S176" s="68" t="s">
        <v>148</v>
      </c>
      <c r="T176" s="67" t="s">
        <v>271</v>
      </c>
      <c r="U176" s="68">
        <v>1676</v>
      </c>
      <c r="V176" s="68">
        <v>3001962</v>
      </c>
      <c r="W176" s="68"/>
      <c r="X176" s="68">
        <v>2.5</v>
      </c>
      <c r="Y176" s="68">
        <v>2.524739000000003</v>
      </c>
      <c r="Z176" s="68">
        <v>2.7547780000000008</v>
      </c>
      <c r="AA176" s="68">
        <v>4.23536</v>
      </c>
      <c r="AB176" s="68">
        <v>3.5767800000000012</v>
      </c>
      <c r="AC176" s="68">
        <v>5.2307599999999992</v>
      </c>
      <c r="AD176" s="68">
        <v>5.2985428571428583</v>
      </c>
      <c r="AE176" s="68">
        <v>4.2924499999999979</v>
      </c>
      <c r="AF176" s="68">
        <f>IF($Z$3="yes", 0.00773070351758773/$X176, 0.00773070351758773)</f>
        <v>3.0922814070350919E-3</v>
      </c>
      <c r="AG176" s="68">
        <f>IF($Z$3="yes", 0.0539654689468946/$X176, 0.0539654689468946)</f>
        <v>2.158618757875784E-2</v>
      </c>
      <c r="AH176" s="68">
        <f>IF($Z$3="yes", 0.0697163601440576/$X176, 0.0697163601440576)</f>
        <v>2.7886544057623041E-2</v>
      </c>
      <c r="AI176" s="68">
        <f>IF($Z$3="yes", 0.114240374549819/$X176, 0.114240374549819)</f>
        <v>4.5696149819927603E-2</v>
      </c>
      <c r="AJ176" s="68">
        <f>IF($Z$3="yes", -0.100992781954895/$X176, -0.100992781954895)</f>
        <v>-4.0397112781957997E-2</v>
      </c>
      <c r="AK176" s="68">
        <f>IF($Z$3="yes", -0.366518681318689/$X176, -0.366518681318689)</f>
        <v>-0.14660747252747558</v>
      </c>
      <c r="AL176" s="68">
        <f>IF($Z$3="yes", -0.608138095238099/$X176, -0.608138095238099)</f>
        <v>-0.24325523809523961</v>
      </c>
      <c r="AM176" s="68">
        <f>IF($Z$3="yes", 0.230038999999997/$X176, 0.230038999999997)</f>
        <v>9.2015599999998796E-2</v>
      </c>
      <c r="AN176" s="68">
        <f>IF($Z$3="yes", 1.71062099999999/$X176, 1.71062099999999)</f>
        <v>0.68424839999999598</v>
      </c>
      <c r="AO176" s="68">
        <f>IF($Z$3="yes", 1.05204099999999/$X176, 1.05204099999999)</f>
        <v>0.42081639999999598</v>
      </c>
      <c r="AP176" s="68">
        <f>IF($Z$3="yes", 2.70602099999999/$X176, 2.70602099999999)</f>
        <v>1.0824083999999961</v>
      </c>
      <c r="AQ176" s="68">
        <f>IF($Z$3="yes", 2.77380385714285/$X176, 2.77380385714285)</f>
        <v>1.1095215428571401</v>
      </c>
      <c r="AR176" s="68">
        <f>IF($Z$3="yes", 1.76771099999999/$X176, 1.76771099999999)</f>
        <v>0.70708439999999606</v>
      </c>
      <c r="AS176" s="68">
        <f>IF($Z$3="yes", 1.48058199999999/$X176, 1.48058199999999)</f>
        <v>0.59223279999999601</v>
      </c>
      <c r="AT176" s="68">
        <f>IF($Z$3="yes", 0.822002/$X176, 0.822002)</f>
        <v>0.3288008</v>
      </c>
      <c r="AU176" s="88">
        <f>IF($Z$3="yes", 2.47598199999999/$X176, 2.47598199999999)</f>
        <v>0.99039279999999597</v>
      </c>
      <c r="AV176" s="88">
        <f>IF($Z$3="yes", 2.54376485714285/$X176, 2.54376485714285)</f>
        <v>1.01750594285714</v>
      </c>
      <c r="AW176" s="88">
        <f>IF($Z$3="yes", 1.53767199999999/$X176, 1.53767199999999)</f>
        <v>0.61506879999999597</v>
      </c>
      <c r="AX176" s="88">
        <f>IF($Z$3="yes", 0.658579999999998/$X176, 0.658579999999998)</f>
        <v>0.26343199999999917</v>
      </c>
      <c r="AY176" s="88">
        <f>IF($Z$3="yes", 1.65397999999999/$X176, 1.65397999999999)</f>
        <v>0.66159199999999596</v>
      </c>
      <c r="AZ176" s="88">
        <f>IF($Z$3="yes", 1.72176285714285/$X176, 1.72176285714285)</f>
        <v>0.68870514285714002</v>
      </c>
      <c r="BA176" s="88">
        <f>IF($Z$3="yes", 0.715669999999996/$X176, 0.715669999999996)</f>
        <v>0.28626799999999841</v>
      </c>
      <c r="BB176" s="88">
        <f>IF($Z$3="yes", 0.995399999999999/$X176, 0.995399999999999)</f>
        <v>0.39815999999999957</v>
      </c>
      <c r="BC176" s="88">
        <f>IF($Z$3="yes", 1.06318285714285/$X176, 1.06318285714285)</f>
        <v>0.42527314285714002</v>
      </c>
      <c r="BD176" s="88">
        <f>IF($Z$3="yes", 0.0570899999999978/$X176, 0.0570899999999978)</f>
        <v>2.2835999999999121E-2</v>
      </c>
      <c r="BE176" s="88">
        <f>IF($Z$3="yes", 0.0677828571428591/$X176, 0.0677828571428591)</f>
        <v>2.7113142857143641E-2</v>
      </c>
      <c r="BF176" s="88">
        <f>IF($Z$3="yes", 0.938310000000001/$X176, 0.938310000000001)</f>
        <v>0.37532400000000038</v>
      </c>
      <c r="BG176" s="88">
        <f>IF($Z$3="yes", 1.00609285714286/$X176, 1.00609285714286)</f>
        <v>0.40243714285714399</v>
      </c>
      <c r="BH176" s="88">
        <f>IF($Z$3="yes", 1.69659161904761/$X176, 1.69659161904761)</f>
        <v>0.67863664761904396</v>
      </c>
      <c r="BI176" s="68"/>
      <c r="BJ176" s="68"/>
      <c r="BK176" s="68">
        <f>IF($BL$3="yes", MAX(0, (3001962 - 6172367.93333333) / 3244051.56412837), 6172367.93333333)</f>
        <v>6172367.9333333299</v>
      </c>
      <c r="BL176" s="68">
        <f>IF($BL$3="yes", MAX(0, (3001962 - 4714741.65) / 3039176.73187084), 4714741.65)</f>
        <v>4714741.6500000004</v>
      </c>
      <c r="BM176" s="68">
        <f>IF($BL$3="yes", MAX(0, (3001962 - 5082887.75833333) / 3036937.40379873), 5082887.75833333)</f>
        <v>5082887.75833333</v>
      </c>
      <c r="BN176" s="68">
        <f>IF($BL$3="yes", MAX(0, (3001962 - 6618612.72) / 7700474.65373662), 6618612.72)</f>
        <v>6618612.7199999997</v>
      </c>
      <c r="BO176" s="68">
        <f>IF($BL$3="yes", MAX(0, (3001962 - 3668364.39666666) / 6216452.479169), 3668364.39666666)</f>
        <v>3668364.39666666</v>
      </c>
      <c r="BP176" s="68">
        <f>IF($BL$3="yes", MAX(0, (3001962 - 2282416.15166666) / 4635795.92124297), 2282416.15166666)</f>
        <v>2282416.1516666599</v>
      </c>
      <c r="BQ176" s="68">
        <v>31.359713553147682</v>
      </c>
      <c r="BR176" s="68"/>
      <c r="BS176" s="68"/>
      <c r="BT176" s="68">
        <v>-30907595.417585921</v>
      </c>
      <c r="BU176" s="68">
        <v>-6298650.3835343868</v>
      </c>
      <c r="BV176" s="68">
        <f>IF($Z$3="yes", 0.805521090906118/$X176, 0.805521090906118)</f>
        <v>0.32220843636244723</v>
      </c>
      <c r="BW176" s="68">
        <f>IF($Z$3="yes", 0.620266580701231/$X176, 0.620266580701231)</f>
        <v>0.2481066322804924</v>
      </c>
      <c r="BX176" s="68">
        <f>$BW$186 - $BV$186</f>
        <v>-2.9863334010362869E-2</v>
      </c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81"/>
      <c r="CR176" s="81"/>
      <c r="CS176" s="68"/>
      <c r="CT176" s="68"/>
      <c r="CU176" s="68"/>
    </row>
    <row r="177" spans="1:99" ht="15.75" customHeight="1" thickBot="1" x14ac:dyDescent="0.3">
      <c r="A177" s="84" t="s">
        <v>524</v>
      </c>
      <c r="B177" s="67" t="s">
        <v>128</v>
      </c>
      <c r="C177" s="67" t="s">
        <v>525</v>
      </c>
      <c r="D177" s="67" t="s">
        <v>526</v>
      </c>
      <c r="E177" s="67">
        <v>1</v>
      </c>
      <c r="F177" s="85">
        <v>0.89</v>
      </c>
      <c r="G177" s="313">
        <v>44253</v>
      </c>
      <c r="H177" s="317">
        <v>0.86050000000000004</v>
      </c>
      <c r="I177" s="85">
        <v>2.67</v>
      </c>
      <c r="J177" s="313">
        <v>44285</v>
      </c>
      <c r="K177" s="118">
        <f t="shared" si="6"/>
        <v>-3.314606741573034E-2</v>
      </c>
      <c r="L177" s="149">
        <f t="shared" si="7"/>
        <v>2</v>
      </c>
      <c r="M177" s="312">
        <v>44407</v>
      </c>
      <c r="N177" s="68"/>
      <c r="O177" s="291">
        <v>90356629</v>
      </c>
      <c r="P177" s="291">
        <v>41940000</v>
      </c>
      <c r="Q177" s="291">
        <v>32</v>
      </c>
      <c r="R177" s="68" t="s">
        <v>131</v>
      </c>
      <c r="S177" s="68" t="s">
        <v>220</v>
      </c>
      <c r="T177" s="68" t="s">
        <v>232</v>
      </c>
      <c r="U177" s="68">
        <v>860</v>
      </c>
      <c r="V177" s="68">
        <v>6431662</v>
      </c>
      <c r="W177" s="68"/>
      <c r="X177" s="68">
        <v>0.92</v>
      </c>
      <c r="Y177" s="68">
        <v>0.755776</v>
      </c>
      <c r="Z177" s="68">
        <v>0.68183100000000008</v>
      </c>
      <c r="AA177" s="68">
        <v>0.82706600000000041</v>
      </c>
      <c r="AB177" s="68">
        <v>0.72813600000000056</v>
      </c>
      <c r="AC177" s="68">
        <v>0.99801500000000021</v>
      </c>
      <c r="AD177" s="68">
        <v>1.0449785714285731</v>
      </c>
      <c r="AE177" s="68">
        <v>0.98746250000000146</v>
      </c>
      <c r="AF177" s="68">
        <f>IF($Z$3="yes", -0.000113211430285784/$X177, -0.000113211430285784)</f>
        <v>-1.2305590248454782E-4</v>
      </c>
      <c r="AG177" s="68">
        <f>IF($Z$3="yes", 0.00574225082508252/$X177, 0.00574225082508252)</f>
        <v>6.241576983785347E-3</v>
      </c>
      <c r="AH177" s="68">
        <f>IF($Z$3="yes", 0.0113880096038413/$X177, 0.0113880096038413)</f>
        <v>1.2378271308523151E-2</v>
      </c>
      <c r="AI177" s="68">
        <f>IF($Z$3="yes", 0.0110308379351738/$X177, 0.0110308379351738)</f>
        <v>1.1990041233884564E-2</v>
      </c>
      <c r="AJ177" s="68">
        <f>IF($Z$3="yes", 0.00554684210526159/$X177, 0.00554684210526159)</f>
        <v>6.0291762013712936E-3</v>
      </c>
      <c r="AK177" s="68">
        <f>IF($Z$3="yes", -0.0151817582417614/$X177, -0.0151817582417614)</f>
        <v>-1.6501911132349348E-2</v>
      </c>
      <c r="AL177" s="68">
        <f>IF($Z$3="yes", -0.0292369047619006/$X177, -0.0292369047619006)</f>
        <v>-3.1779244306413691E-2</v>
      </c>
      <c r="AM177" s="68">
        <f>IF($Z$3="yes", 0.0739449999999999/$X177, 0.0739449999999999)</f>
        <v>8.0374999999999891E-2</v>
      </c>
      <c r="AN177" s="68">
        <f>IF($Z$3="yes", 0.0712900000000004/$X177, 0.0712900000000004)</f>
        <v>7.7489130434783032E-2</v>
      </c>
      <c r="AO177" s="68">
        <f>IF($Z$3="yes", 0.0276399999999994/$X177, 0.0276399999999994)</f>
        <v>3.0043478260868912E-2</v>
      </c>
      <c r="AP177" s="68">
        <f>IF($Z$3="yes", 0.242239/$X177, 0.242239)</f>
        <v>0.26330326086956524</v>
      </c>
      <c r="AQ177" s="68">
        <f>IF($Z$3="yes", 0.289202571428572/$X177, 0.289202571428572)</f>
        <v>0.31435062111801299</v>
      </c>
      <c r="AR177" s="68">
        <f>IF($Z$3="yes", 0.231686500000001/$X177, 0.231686500000001)</f>
        <v>0.25183315217391411</v>
      </c>
      <c r="AS177" s="68">
        <f>IF($Z$3="yes", 0.145235/$X177, 0.145235)</f>
        <v>0.15786413043478262</v>
      </c>
      <c r="AT177" s="68">
        <f>IF($Z$3="yes", 0.0463050000000004/$X177, 0.0463050000000004)</f>
        <v>5.0331521739130872E-2</v>
      </c>
      <c r="AU177" s="88">
        <f>IF($Z$3="yes", 0.316184/$X177, 0.316184)</f>
        <v>0.34367826086956521</v>
      </c>
      <c r="AV177" s="88">
        <f>IF($Z$3="yes", 0.363147571428572/$X177, 0.363147571428572)</f>
        <v>0.39472562111801301</v>
      </c>
      <c r="AW177" s="88">
        <f>IF($Z$3="yes", 0.305631500000001/$X177, 0.305631500000001)</f>
        <v>0.33220815217391414</v>
      </c>
      <c r="AX177" s="88">
        <f>IF($Z$3="yes", 0.0989299999999998/$X177, 0.0989299999999998)</f>
        <v>0.10753260869565194</v>
      </c>
      <c r="AY177" s="88">
        <f>IF($Z$3="yes", 0.269878999999999/$X177, 0.269878999999999)</f>
        <v>0.29334673913043369</v>
      </c>
      <c r="AZ177" s="88">
        <f>IF($Z$3="yes", 0.316842571428572/$X177, 0.316842571428572)</f>
        <v>0.34439409937888255</v>
      </c>
      <c r="BA177" s="88">
        <f>IF($Z$3="yes", 0.2593265/$X177, 0.2593265)</f>
        <v>0.28187663043478262</v>
      </c>
      <c r="BB177" s="88">
        <f>IF($Z$3="yes", 0.170948999999999/$X177, 0.170948999999999)</f>
        <v>0.18581413043478151</v>
      </c>
      <c r="BC177" s="88">
        <f>IF($Z$3="yes", 0.217912571428572/$X177, 0.217912571428572)</f>
        <v>0.23686149068323042</v>
      </c>
      <c r="BD177" s="88">
        <f>IF($Z$3="yes", 0.160396500000001/$X177, 0.160396500000001)</f>
        <v>0.17434402173913152</v>
      </c>
      <c r="BE177" s="88">
        <f>IF($Z$3="yes", 0.0469635714285724/$X177, 0.0469635714285724)</f>
        <v>5.1047360248448262E-2</v>
      </c>
      <c r="BF177" s="88">
        <f>IF($Z$3="yes", 0.0105524999999987/$X177, 0.0105524999999987)</f>
        <v>1.1470108695650761E-2</v>
      </c>
      <c r="BG177" s="88">
        <f>IF($Z$3="yes", 0.0575160714285711/$X177, 0.0575160714285711)</f>
        <v>6.2517468944099014E-2</v>
      </c>
      <c r="BH177" s="88">
        <f>IF($Z$3="yes", 0.26709430952381/$X177, 0.26709430952381)</f>
        <v>0.29031990165631522</v>
      </c>
      <c r="BI177" s="68"/>
      <c r="BJ177" s="68"/>
      <c r="BK177" s="68">
        <f>IF($BL$3="yes", MAX(0, (6431662 - 7600731.6) / 4095612.10543374), 7600731.6)</f>
        <v>7600731.5999999996</v>
      </c>
      <c r="BL177" s="68">
        <f>IF($BL$3="yes", MAX(0, (6431662 - 8759328.5) / 4460097.67478395), 8759328.5)</f>
        <v>8759328.5</v>
      </c>
      <c r="BM177" s="68">
        <f>IF($BL$3="yes", MAX(0, (6431662 - 9945905.35) / 6626844.07302099), 9945905.35)</f>
        <v>9945905.3499999996</v>
      </c>
      <c r="BN177" s="68">
        <f>IF($BL$3="yes", MAX(0, (6431662 - 10563805.88) / 11866452.5039771), 10563805.88)</f>
        <v>10563805.880000001</v>
      </c>
      <c r="BO177" s="68">
        <f>IF($BL$3="yes", MAX(0, (6431662 - 6579352.11) / 9580825.30966737), 6579352.11)</f>
        <v>6579352.1100000003</v>
      </c>
      <c r="BP177" s="68">
        <f>IF($BL$3="yes", MAX(0, (6431662 - 5445297.14) / 8535212.4535417), 5445297.14)</f>
        <v>5445297.1399999997</v>
      </c>
      <c r="BQ177" s="68">
        <v>49.070859822916269</v>
      </c>
      <c r="BR177" s="68"/>
      <c r="BS177" s="68"/>
      <c r="BT177" s="68">
        <v>179936931.34466419</v>
      </c>
      <c r="BU177" s="68">
        <v>-1624755.7363552151</v>
      </c>
      <c r="BV177" s="68">
        <f>IF($Z$3="yes", 0.13605767849896/$X177, 0.13605767849896)</f>
        <v>0.14788878097713043</v>
      </c>
      <c r="BW177" s="68">
        <f>IF($Z$3="yes", 0.0945544648623784/$X177, 0.0945544648623784)</f>
        <v>0.10277659224171565</v>
      </c>
      <c r="BX177" s="68">
        <f>$BW$185 - $BV$185</f>
        <v>-3.1873553700235258E-2</v>
      </c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81"/>
      <c r="CR177" s="81"/>
      <c r="CS177" s="68"/>
      <c r="CT177" s="68"/>
      <c r="CU177" s="68"/>
    </row>
    <row r="178" spans="1:99" ht="15.75" customHeight="1" thickBot="1" x14ac:dyDescent="0.3">
      <c r="A178" s="84" t="s">
        <v>205</v>
      </c>
      <c r="B178" s="67" t="s">
        <v>128</v>
      </c>
      <c r="C178" s="67" t="s">
        <v>525</v>
      </c>
      <c r="D178" s="67" t="s">
        <v>527</v>
      </c>
      <c r="E178" s="67">
        <v>1</v>
      </c>
      <c r="F178" s="85">
        <v>2.61</v>
      </c>
      <c r="G178" s="313">
        <v>44253</v>
      </c>
      <c r="H178" s="317">
        <v>1.85</v>
      </c>
      <c r="I178" s="85">
        <v>3.16</v>
      </c>
      <c r="J178" s="313">
        <v>44257</v>
      </c>
      <c r="K178" s="107">
        <f t="shared" si="6"/>
        <v>-0.29118773946360144</v>
      </c>
      <c r="L178" s="203">
        <f t="shared" si="7"/>
        <v>0.21072796934865901</v>
      </c>
      <c r="M178" s="312">
        <v>44407</v>
      </c>
      <c r="N178" s="68"/>
      <c r="O178" s="291">
        <v>113908845</v>
      </c>
      <c r="P178" s="291">
        <v>75440000</v>
      </c>
      <c r="Q178" s="291">
        <v>4</v>
      </c>
      <c r="R178" s="68" t="s">
        <v>131</v>
      </c>
      <c r="S178" s="68" t="s">
        <v>148</v>
      </c>
      <c r="T178" s="68" t="s">
        <v>468</v>
      </c>
      <c r="U178" s="68">
        <v>1712</v>
      </c>
      <c r="V178" s="68">
        <v>9516796</v>
      </c>
      <c r="W178" s="68"/>
      <c r="X178" s="68">
        <v>2.63</v>
      </c>
      <c r="Y178" s="68">
        <v>2.5544695000000011</v>
      </c>
      <c r="Z178" s="68">
        <v>2.2370500000000009</v>
      </c>
      <c r="AA178" s="68">
        <v>2.277299999999999</v>
      </c>
      <c r="AB178" s="68">
        <v>2.115499999999999</v>
      </c>
      <c r="AC178" s="68">
        <v>2.4232500000000021</v>
      </c>
      <c r="AD178" s="68">
        <v>2.521785714285715</v>
      </c>
      <c r="AE178" s="68">
        <v>2.55125</v>
      </c>
      <c r="AF178" s="68">
        <f>IF($Z$3="yes", 0.000789690317257876/$X178, 0.000789690317257876)</f>
        <v>3.002624780448198E-4</v>
      </c>
      <c r="AG178" s="68">
        <f>IF($Z$3="yes", -0.00271656165616581/$X178, -0.00271656165616581)</f>
        <v>-1.0329131772493574E-3</v>
      </c>
      <c r="AH178" s="68">
        <f>IF($Z$3="yes", 0.0106379351740699/$X178, 0.0106379351740699)</f>
        <v>4.0448422715094676E-3</v>
      </c>
      <c r="AI178" s="68">
        <f>IF($Z$3="yes", 0.0144012004801923/$X178, 0.0144012004801923)</f>
        <v>5.4757416274495438E-3</v>
      </c>
      <c r="AJ178" s="68">
        <f>IF($Z$3="yes", 0.0241090225563842/$X178, 0.0241090225563842)</f>
        <v>9.1669287286631936E-3</v>
      </c>
      <c r="AK178" s="68">
        <f>IF($Z$3="yes", 0.00640659340660317/$X178, 0.00640659340660317)</f>
        <v>2.4359670747540569E-3</v>
      </c>
      <c r="AL178" s="68">
        <f>IF($Z$3="yes", 0.01107142857143/$X178, 0.01107142857143)</f>
        <v>4.2096686583384035E-3</v>
      </c>
      <c r="AM178" s="68">
        <f>IF($Z$3="yes", 0.3174195/$X178, 0.3174195)</f>
        <v>0.12069182509505705</v>
      </c>
      <c r="AN178" s="68">
        <f>IF($Z$3="yes", 0.277169500000001/$X178, 0.277169500000001)</f>
        <v>0.10538764258555172</v>
      </c>
      <c r="AO178" s="68">
        <f>IF($Z$3="yes", 0.438969500000001/$X178, 0.438969500000001)</f>
        <v>0.16690855513308023</v>
      </c>
      <c r="AP178" s="68">
        <f>IF($Z$3="yes", 0.131219499999999/$X178, 0.131219499999999)</f>
        <v>4.9893346007604179E-2</v>
      </c>
      <c r="AQ178" s="68">
        <f>IF($Z$3="yes", 0.0326837857142865/$X178, 0.0326837857142865)</f>
        <v>1.2427294948397909E-2</v>
      </c>
      <c r="AR178" s="68">
        <f>IF($Z$3="yes", 0.00321950000000059/$X178, 0.00321950000000059)</f>
        <v>1.2241444866922396E-3</v>
      </c>
      <c r="AS178" s="68">
        <f>IF($Z$3="yes", 0.0402499999999985/$X178, 0.0402499999999985)</f>
        <v>1.5304182509505134E-2</v>
      </c>
      <c r="AT178" s="68">
        <f>IF($Z$3="yes", 0.121550000000001/$X178, 0.121550000000001)</f>
        <v>4.62167300380232E-2</v>
      </c>
      <c r="AU178" s="88">
        <f>IF($Z$3="yes", 0.1862/$X178, 0.1862)</f>
        <v>7.0798479087452473E-2</v>
      </c>
      <c r="AV178" s="88">
        <f>IF($Z$3="yes", 0.284735714285713/$X178, 0.284735714285713)</f>
        <v>0.10826453014665893</v>
      </c>
      <c r="AW178" s="88">
        <f>IF($Z$3="yes", 0.314199999999999/$X178, 0.314199999999999)</f>
        <v>0.11946768060836463</v>
      </c>
      <c r="AX178" s="88">
        <f>IF($Z$3="yes", 0.161799999999999/$X178, 0.161799999999999)</f>
        <v>6.1520912547528138E-2</v>
      </c>
      <c r="AY178" s="88">
        <f>IF($Z$3="yes", 0.307750000000002/$X178, 0.307750000000002)</f>
        <v>0.11701520912547606</v>
      </c>
      <c r="AZ178" s="88">
        <f>IF($Z$3="yes", 0.406285714285715/$X178, 0.406285714285715)</f>
        <v>0.15448126018468253</v>
      </c>
      <c r="BA178" s="88">
        <f>IF($Z$3="yes", 0.43575/$X178, 0.43575)</f>
        <v>0.16568441064638784</v>
      </c>
      <c r="BB178" s="88">
        <f>IF($Z$3="yes", 0.145950000000002/$X178, 0.145950000000002)</f>
        <v>5.5494296577947529E-2</v>
      </c>
      <c r="BC178" s="88">
        <f>IF($Z$3="yes", 0.244485714285715/$X178, 0.244485714285715)</f>
        <v>9.2960347637153995E-2</v>
      </c>
      <c r="BD178" s="88">
        <f>IF($Z$3="yes", 0.273950000000001/$X178, 0.273950000000001)</f>
        <v>0.10416349809885971</v>
      </c>
      <c r="BE178" s="88">
        <f>IF($Z$3="yes", 0.0985357142857128/$X178, 0.0985357142857128)</f>
        <v>3.746605105920639E-2</v>
      </c>
      <c r="BF178" s="88">
        <f>IF($Z$3="yes", 0.127999999999998/$X178, 0.127999999999998)</f>
        <v>4.8669201520911788E-2</v>
      </c>
      <c r="BG178" s="88">
        <f>IF($Z$3="yes", 0.0294642857142859/$X178, 0.0294642857142859)</f>
        <v>1.1203150461705667E-2</v>
      </c>
      <c r="BH178" s="88">
        <f>IF($Z$3="yes", 0.421811197278912/$X178, 0.421811197278912)</f>
        <v>0.16038448565738098</v>
      </c>
      <c r="BI178" s="68"/>
      <c r="BJ178" s="68"/>
      <c r="BK178" s="68">
        <f>IF($BL$3="yes", MAX(0, (9516796 - 12343718) / 5618125.52059919), 12343718)</f>
        <v>12343718</v>
      </c>
      <c r="BL178" s="68">
        <f>IF($BL$3="yes", MAX(0, (9516796 - 23348648) / 31598060.1396938), 23348648)</f>
        <v>23348648</v>
      </c>
      <c r="BM178" s="68">
        <f>IF($BL$3="yes", MAX(0, (9516796 - 12272900.35) / 24943628.3663127), 12272900.35)</f>
        <v>12272900.35</v>
      </c>
      <c r="BN178" s="68">
        <f>IF($BL$3="yes", MAX(0, (9516796 - 5331521.94) / 16768098.6625742), 5331521.94)</f>
        <v>5331521.9400000004</v>
      </c>
      <c r="BO178" s="68">
        <f>IF($BL$3="yes", MAX(0, (9516796 - 2954672.33) / 12100357.4005805), 2954672.33)</f>
        <v>2954672.33</v>
      </c>
      <c r="BP178" s="68">
        <f>IF($BL$3="yes", MAX(0, (9516796 - 1933108.07) / 9332666.3829142), 1933108.07)</f>
        <v>1933108.07</v>
      </c>
      <c r="BQ178" s="68">
        <v>57.033447728159871</v>
      </c>
      <c r="BR178" s="68"/>
      <c r="BS178" s="68"/>
      <c r="BT178" s="68">
        <v>374004.82537561539</v>
      </c>
      <c r="BU178" s="68">
        <v>-6436.2958179847337</v>
      </c>
      <c r="BV178" s="68">
        <f>IF($Z$3="yes", 0.348960263924379/$X178, 0.348960263924379)</f>
        <v>0.13268451099786274</v>
      </c>
      <c r="BW178" s="68">
        <f>IF($Z$3="yes", 0.198324037811222/$X178, 0.198324037811222)</f>
        <v>7.5408379395901906E-2</v>
      </c>
      <c r="BX178" s="68">
        <f>$BW$184 - $BV$184</f>
        <v>2.5113297411417879E-2</v>
      </c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81"/>
      <c r="CR178" s="81"/>
      <c r="CS178" s="68"/>
      <c r="CT178" s="68"/>
      <c r="CU178" s="68"/>
    </row>
    <row r="179" spans="1:99" ht="15.75" customHeight="1" thickBot="1" x14ac:dyDescent="0.3">
      <c r="A179" s="84" t="s">
        <v>194</v>
      </c>
      <c r="B179" s="67" t="s">
        <v>128</v>
      </c>
      <c r="C179" s="67" t="s">
        <v>525</v>
      </c>
      <c r="D179" s="67" t="s">
        <v>528</v>
      </c>
      <c r="E179" s="67">
        <v>1</v>
      </c>
      <c r="F179" s="85">
        <v>11.06</v>
      </c>
      <c r="G179" s="313">
        <v>44252</v>
      </c>
      <c r="H179" s="317">
        <v>12.56</v>
      </c>
      <c r="I179" s="85">
        <v>17.25</v>
      </c>
      <c r="J179" s="313">
        <v>44291</v>
      </c>
      <c r="K179" s="204">
        <f t="shared" si="6"/>
        <v>0.13562386980108498</v>
      </c>
      <c r="L179" s="205">
        <f t="shared" si="7"/>
        <v>0.55967450271247743</v>
      </c>
      <c r="M179" s="312">
        <v>44407</v>
      </c>
      <c r="N179" s="68"/>
      <c r="O179" s="291">
        <v>1545884</v>
      </c>
      <c r="P179" s="291">
        <v>1200000</v>
      </c>
      <c r="Q179" s="291">
        <v>39</v>
      </c>
      <c r="R179" s="68" t="s">
        <v>131</v>
      </c>
      <c r="S179" s="68" t="s">
        <v>529</v>
      </c>
      <c r="T179" s="68" t="s">
        <v>530</v>
      </c>
      <c r="U179" s="68">
        <v>392</v>
      </c>
      <c r="V179" s="68">
        <v>2098736</v>
      </c>
      <c r="W179" s="68"/>
      <c r="X179" s="68">
        <v>11.46</v>
      </c>
      <c r="Y179" s="68">
        <v>3.8649364999999989</v>
      </c>
      <c r="Z179" s="68">
        <v>5.2388669999999982</v>
      </c>
      <c r="AA179" s="68">
        <v>8.4022039999999976</v>
      </c>
      <c r="AB179" s="68">
        <v>6.6818039999999987</v>
      </c>
      <c r="AC179" s="68">
        <v>10.8835</v>
      </c>
      <c r="AD179" s="68">
        <v>10.91142857142858</v>
      </c>
      <c r="AE179" s="68">
        <v>11.15</v>
      </c>
      <c r="AF179" s="68">
        <f>IF($Z$3="yes", 0.0353042921323032/$X179, 0.0353042921323032)</f>
        <v>3.0806537637262823E-3</v>
      </c>
      <c r="AG179" s="68">
        <f>IF($Z$3="yes", 0.118056179417941/$X179, 0.118056179417941)</f>
        <v>1.0301586336644065E-2</v>
      </c>
      <c r="AH179" s="68">
        <f>IF($Z$3="yes", 0.175772110444178/$X179, 0.175772110444178)</f>
        <v>1.5337880492511169E-2</v>
      </c>
      <c r="AI179" s="68">
        <f>IF($Z$3="yes", 0.214483466986795/$X179, 0.214483466986795)</f>
        <v>1.8715834815601656E-2</v>
      </c>
      <c r="AJ179" s="68">
        <f>IF($Z$3="yes", 0.0162180451127817/$X179, 0.0162180451127817)</f>
        <v>1.4151871826162041E-3</v>
      </c>
      <c r="AK179" s="68">
        <f>IF($Z$3="yes", 0.0763516483516415/$X179, 0.0763516483516415)</f>
        <v>6.6624475001432369E-3</v>
      </c>
      <c r="AL179" s="68">
        <f>IF($Z$3="yes", 0.114285714285732/$X179, 0.114285714285732)</f>
        <v>9.9725754176031405E-3</v>
      </c>
      <c r="AM179" s="68">
        <f>IF($Z$3="yes", 1.37393049999999/$X179, 1.37393049999999)</f>
        <v>0.11988922338568847</v>
      </c>
      <c r="AN179" s="68">
        <f>IF($Z$3="yes", 4.53726749999999/$X179, 4.53726749999999)</f>
        <v>0.39592212041884722</v>
      </c>
      <c r="AO179" s="68">
        <f>IF($Z$3="yes", 2.81686749999999/$X179, 2.81686749999999)</f>
        <v>0.24579995636998167</v>
      </c>
      <c r="AP179" s="68">
        <f>IF($Z$3="yes", 7.0185635/$X179, 7.0185635)</f>
        <v>0.61244009598603832</v>
      </c>
      <c r="AQ179" s="68">
        <f>IF($Z$3="yes", 7.04649207142857/$X179, 7.04649207142857)</f>
        <v>0.61487714410371463</v>
      </c>
      <c r="AR179" s="68">
        <f>IF($Z$3="yes", 7.2850635/$X179, 7.2850635)</f>
        <v>0.63569489528795808</v>
      </c>
      <c r="AS179" s="68">
        <f>IF($Z$3="yes", 3.16333699999999/$X179, 3.16333699999999)</f>
        <v>0.27603289703315792</v>
      </c>
      <c r="AT179" s="68">
        <f>IF($Z$3="yes", 1.442937/$X179, 1.442937)</f>
        <v>0.12591073298429317</v>
      </c>
      <c r="AU179" s="88">
        <f>IF($Z$3="yes", 5.644633/$X179, 5.644633)</f>
        <v>0.49255087260034897</v>
      </c>
      <c r="AV179" s="88">
        <f>IF($Z$3="yes", 5.67256157142857/$X179, 5.67256157142857)</f>
        <v>0.49498792071802528</v>
      </c>
      <c r="AW179" s="88">
        <f>IF($Z$3="yes", 5.911133/$X179, 5.911133)</f>
        <v>0.51580567190226878</v>
      </c>
      <c r="AX179" s="88">
        <f>IF($Z$3="yes", 1.72039999999999/$X179, 1.72039999999999)</f>
        <v>0.15012216404886472</v>
      </c>
      <c r="AY179" s="88">
        <f>IF($Z$3="yes", 4.201696/$X179, 4.201696)</f>
        <v>0.36664013961605585</v>
      </c>
      <c r="AZ179" s="88">
        <f>IF($Z$3="yes", 4.22962457142857/$X179, 4.22962457142857)</f>
        <v>0.36907718773373205</v>
      </c>
      <c r="BA179" s="88">
        <f>IF($Z$3="yes", 4.468196/$X179, 4.468196)</f>
        <v>0.3898949389179755</v>
      </c>
      <c r="BB179" s="88">
        <f>IF($Z$3="yes", 2.481296/$X179, 2.481296)</f>
        <v>0.21651797556719021</v>
      </c>
      <c r="BC179" s="88">
        <f>IF($Z$3="yes", 2.50922457142857/$X179, 2.50922457142857)</f>
        <v>0.21895502368486647</v>
      </c>
      <c r="BD179" s="88">
        <f>IF($Z$3="yes", 2.747796/$X179, 2.747796)</f>
        <v>0.23977277486910994</v>
      </c>
      <c r="BE179" s="88">
        <f>IF($Z$3="yes", 0.0279285714285766/$X179, 0.0279285714285766)</f>
        <v>2.4370481176768412E-3</v>
      </c>
      <c r="BF179" s="88">
        <f>IF($Z$3="yes", 0.266499999999998/$X179, 0.266499999999998)</f>
        <v>2.3254799301919545E-2</v>
      </c>
      <c r="BG179" s="88">
        <f>IF($Z$3="yes", 0.238571428571422/$X179, 0.238571428571422)</f>
        <v>2.0817751184242755E-2</v>
      </c>
      <c r="BH179" s="88">
        <f>IF($Z$3="yes", 4.33115475510204/$X179, 4.33115475510204)</f>
        <v>0.37793671510489002</v>
      </c>
      <c r="BI179" s="68"/>
      <c r="BJ179" s="68"/>
      <c r="BK179" s="68">
        <f>IF($BL$3="yes", MAX(0, (2098736 - 818563.4) / 713299.905985862), 818563.4)</f>
        <v>818563.4</v>
      </c>
      <c r="BL179" s="68">
        <f>IF($BL$3="yes", MAX(0, (2098736 - 470342.2) / 615938.146302662), 470342.2)</f>
        <v>470342.2</v>
      </c>
      <c r="BM179" s="68">
        <f>IF($BL$3="yes", MAX(0, (2098736 - 504416.5) / 794703.678773069), 504416.5)</f>
        <v>504416.5</v>
      </c>
      <c r="BN179" s="68">
        <f>IF($BL$3="yes", MAX(0, (2098736 - 1382265.46) / 6525008.90279338), 1382265.46)</f>
        <v>1382265.46</v>
      </c>
      <c r="BO179" s="68">
        <f>IF($BL$3="yes", MAX(0, (2098736 - 723510.18) / 4664382.79012451), 723510.18)</f>
        <v>723510.18</v>
      </c>
      <c r="BP179" s="68">
        <f>IF($BL$3="yes", MAX(0, (2098736 - 400785.96) / 3322777.91613247), 400785.96)</f>
        <v>400785.96</v>
      </c>
      <c r="BQ179" s="68">
        <v>54.140233011018942</v>
      </c>
      <c r="BR179" s="68"/>
      <c r="BS179" s="68"/>
      <c r="BT179" s="68">
        <v>-30409826.309832361</v>
      </c>
      <c r="BU179" s="68">
        <v>-555084.98202599585</v>
      </c>
      <c r="BV179" s="68">
        <f>IF($Z$3="yes", 2.19082364934847/$X179, 2.19082364934847)</f>
        <v>0.19117134811068673</v>
      </c>
      <c r="BW179" s="68">
        <f>IF($Z$3="yes", 1.81700971981373/$X179, 1.81700971981373)</f>
        <v>0.1585523315718787</v>
      </c>
      <c r="BX179" s="68">
        <f>$BW$182 - $BV$182</f>
        <v>-7.2590246759332122E-2</v>
      </c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81"/>
      <c r="CR179" s="81"/>
      <c r="CS179" s="68"/>
      <c r="CT179" s="68"/>
      <c r="CU179" s="68"/>
    </row>
    <row r="180" spans="1:99" ht="15.75" customHeight="1" thickBot="1" x14ac:dyDescent="0.3">
      <c r="A180" s="84"/>
      <c r="B180" s="67" t="s">
        <v>128</v>
      </c>
      <c r="C180" s="83" t="s">
        <v>531</v>
      </c>
      <c r="D180" s="67" t="s">
        <v>532</v>
      </c>
      <c r="E180" s="67">
        <v>1</v>
      </c>
      <c r="F180" s="85">
        <v>9.4499999999999993</v>
      </c>
      <c r="G180" s="313">
        <v>44252</v>
      </c>
      <c r="H180" s="317">
        <v>5.88</v>
      </c>
      <c r="I180" s="85">
        <v>12.94</v>
      </c>
      <c r="J180" s="313">
        <v>44357</v>
      </c>
      <c r="K180" s="125">
        <f t="shared" si="6"/>
        <v>-0.37777777777777777</v>
      </c>
      <c r="L180" s="179">
        <f t="shared" si="7"/>
        <v>0.36931216931216926</v>
      </c>
      <c r="M180" s="312">
        <v>44407</v>
      </c>
      <c r="N180" s="68"/>
      <c r="O180" s="291">
        <v>3061859</v>
      </c>
      <c r="P180" s="291">
        <v>3830000</v>
      </c>
      <c r="Q180" s="291">
        <v>105</v>
      </c>
      <c r="R180" s="68" t="s">
        <v>131</v>
      </c>
      <c r="S180" s="68" t="s">
        <v>281</v>
      </c>
      <c r="T180" s="68" t="s">
        <v>488</v>
      </c>
      <c r="U180" s="68">
        <v>160</v>
      </c>
      <c r="V180" s="68">
        <v>378941</v>
      </c>
      <c r="W180" s="68"/>
      <c r="X180" s="68">
        <v>10.050000000000001</v>
      </c>
      <c r="Y180" s="68">
        <v>7.410382999999964</v>
      </c>
      <c r="Z180" s="68">
        <v>8.0897979999999947</v>
      </c>
      <c r="AA180" s="68">
        <v>9.2878000000000025</v>
      </c>
      <c r="AB180" s="68">
        <v>8.7340000000000018</v>
      </c>
      <c r="AC180" s="68">
        <v>10.353999999999999</v>
      </c>
      <c r="AD180" s="68">
        <v>10.48285714285714</v>
      </c>
      <c r="AE180" s="68">
        <v>10.182499999999999</v>
      </c>
      <c r="AF180" s="68">
        <f>IF($Z$3="yes", 0.0182189334733409/$X180, 0.0182189334733409)</f>
        <v>1.8128292013274527E-3</v>
      </c>
      <c r="AG180" s="68">
        <f>IF($Z$3="yes", 0.0478300030003009/$X180, 0.0478300030003009)</f>
        <v>4.7592042786369056E-3</v>
      </c>
      <c r="AH180" s="68">
        <f>IF($Z$3="yes", 0.0825061224489791/$X180, 0.0825061224489791)</f>
        <v>8.2095644227839892E-3</v>
      </c>
      <c r="AI180" s="68">
        <f>IF($Z$3="yes", 0.0884225690276108/$X180, 0.0884225690276108)</f>
        <v>8.7982655748866448E-3</v>
      </c>
      <c r="AJ180" s="68">
        <f>IF($Z$3="yes", -0.0147218045112751/$X180, -0.0147218045112751)</f>
        <v>-1.4648561702761292E-3</v>
      </c>
      <c r="AK180" s="68">
        <f>IF($Z$3="yes", -0.0871648351648405/$X180, -0.0871648351648405)</f>
        <v>-8.6731179268498011E-3</v>
      </c>
      <c r="AL180" s="68">
        <f>IF($Z$3="yes", -0.103809523809679/$X180, -0.103809523809679)</f>
        <v>-1.0329305851709353E-2</v>
      </c>
      <c r="AM180" s="68">
        <f>IF($Z$3="yes", 0.67941500000003/$X180, 0.67941500000003)</f>
        <v>6.7603482587067651E-2</v>
      </c>
      <c r="AN180" s="68">
        <f>IF($Z$3="yes", 1.87741700000003/$X180, 1.87741700000003)</f>
        <v>0.18680766169154528</v>
      </c>
      <c r="AO180" s="68">
        <f>IF($Z$3="yes", 1.32361700000003/$X180, 1.32361700000003)</f>
        <v>0.13170318407960496</v>
      </c>
      <c r="AP180" s="68">
        <f>IF($Z$3="yes", 2.94361700000003/$X180, 2.94361700000003)</f>
        <v>0.29289721393035123</v>
      </c>
      <c r="AQ180" s="68">
        <f>IF($Z$3="yes", 3.07247414285717/$X180, 3.07247414285717)</f>
        <v>0.30571882018479302</v>
      </c>
      <c r="AR180" s="68">
        <f>IF($Z$3="yes", 2.77211700000003/$X180, 2.77211700000003)</f>
        <v>0.27583253731343577</v>
      </c>
      <c r="AS180" s="68">
        <f>IF($Z$3="yes", 1.198002/$X180, 1.198002)</f>
        <v>0.1192041791044776</v>
      </c>
      <c r="AT180" s="68">
        <f>IF($Z$3="yes", 0.644202000000007/$X180, 0.644202000000007)</f>
        <v>6.4099701492538005E-2</v>
      </c>
      <c r="AU180" s="88">
        <f>IF($Z$3="yes", 2.264202/$X180, 2.264202)</f>
        <v>0.22529373134328357</v>
      </c>
      <c r="AV180" s="88">
        <f>IF($Z$3="yes", 2.39305914285714/$X180, 2.39305914285714)</f>
        <v>0.23811533759772535</v>
      </c>
      <c r="AW180" s="88">
        <f>IF($Z$3="yes", 2.092702/$X180, 2.092702)</f>
        <v>0.20822905472636816</v>
      </c>
      <c r="AX180" s="88">
        <f>IF($Z$3="yes", 0.5538/$X180, 0.5538)</f>
        <v>5.5104477611940289E-2</v>
      </c>
      <c r="AY180" s="88">
        <f>IF($Z$3="yes", 1.61999999999999/$X180, 1.61999999999999)</f>
        <v>0.16119402985074524</v>
      </c>
      <c r="AZ180" s="88">
        <f>IF($Z$3="yes", 1.74885714285713/$X180, 1.74885714285713)</f>
        <v>0.17401563610518705</v>
      </c>
      <c r="BA180" s="88">
        <f>IF($Z$3="yes", 1.44849999999999/$X180, 1.44849999999999)</f>
        <v>0.14412935323382983</v>
      </c>
      <c r="BB180" s="88">
        <f>IF($Z$3="yes", 1.06619999999999/$X180, 1.06619999999999)</f>
        <v>0.10608955223880497</v>
      </c>
      <c r="BC180" s="88">
        <f>IF($Z$3="yes", 1.19505714285713/$X180, 1.19505714285713)</f>
        <v>0.11891115849324675</v>
      </c>
      <c r="BD180" s="88">
        <f>IF($Z$3="yes", 0.894699999999993/$X180, 0.894699999999993)</f>
        <v>8.9024875621889835E-2</v>
      </c>
      <c r="BE180" s="88">
        <f>IF($Z$3="yes", 0.128857142857141/$X180, 0.128857142857141)</f>
        <v>1.282160625444189E-2</v>
      </c>
      <c r="BF180" s="88">
        <f>IF($Z$3="yes", 0.171500000000003/$X180, 0.171500000000003)</f>
        <v>1.7064676616915721E-2</v>
      </c>
      <c r="BG180" s="88">
        <f>IF($Z$3="yes", 0.300357142857144/$X180, 0.300357142857144)</f>
        <v>2.9886282871357608E-2</v>
      </c>
      <c r="BH180" s="88">
        <f>IF($Z$3="yes", 2.30938942857143/$X180, 2.30938942857143)</f>
        <v>0.22978999289267957</v>
      </c>
      <c r="BI180" s="68"/>
      <c r="BJ180" s="68"/>
      <c r="BK180" s="68">
        <f>IF($BL$3="yes", MAX(0, (378941 - 118168.2) / 132414.936365049), 118168.2)</f>
        <v>118168.2</v>
      </c>
      <c r="BL180" s="68">
        <f>IF($BL$3="yes", MAX(0, (378941 - 93173.1) / 99466.7207627254), 93173.1)</f>
        <v>93173.1</v>
      </c>
      <c r="BM180" s="68">
        <f>IF($BL$3="yes", MAX(0, (378941 - 177730.75) / 170663.717740143), 177730.75)</f>
        <v>177730.75</v>
      </c>
      <c r="BN180" s="68">
        <f>IF($BL$3="yes", MAX(0, (378941 - 235791.96) / 222009.216919384), 235791.96)</f>
        <v>235791.96</v>
      </c>
      <c r="BO180" s="68">
        <f>IF($BL$3="yes", MAX(0, (378941 - 253080.688) / 667116.586122021), 253080.688)</f>
        <v>253080.68799999999</v>
      </c>
      <c r="BP180" s="68">
        <f>IF($BL$3="yes", MAX(0, (378941 - 170656.645) / 498246.7531223), 170656.645)</f>
        <v>170656.64499999999</v>
      </c>
      <c r="BQ180" s="68">
        <v>51.334033531217571</v>
      </c>
      <c r="BR180" s="68"/>
      <c r="BS180" s="68"/>
      <c r="BT180" s="68">
        <v>-11115647.892942591</v>
      </c>
      <c r="BU180" s="68">
        <v>-52763.613519186147</v>
      </c>
      <c r="BV180" s="68">
        <f>IF($Z$3="yes", 1.19411186916906/$X180, 1.19411186916906)</f>
        <v>0.11881710140985671</v>
      </c>
      <c r="BW180" s="68">
        <f>IF($Z$3="yes", 1.07161452675605/$X180, 1.07161452675605)</f>
        <v>0.10662831112000497</v>
      </c>
      <c r="BX180" s="68">
        <f>$BW$183 - $BV$183</f>
        <v>-0.16093480558050055</v>
      </c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81"/>
      <c r="CR180" s="81"/>
      <c r="CS180" s="68"/>
      <c r="CT180" s="68"/>
      <c r="CU180" s="68"/>
    </row>
    <row r="181" spans="1:99" ht="15.75" customHeight="1" thickBot="1" x14ac:dyDescent="0.3">
      <c r="A181" s="84" t="s">
        <v>533</v>
      </c>
      <c r="B181" s="67" t="s">
        <v>128</v>
      </c>
      <c r="C181" s="67" t="s">
        <v>525</v>
      </c>
      <c r="D181" s="67" t="s">
        <v>534</v>
      </c>
      <c r="E181" s="67">
        <v>1</v>
      </c>
      <c r="F181" s="85">
        <v>4.13</v>
      </c>
      <c r="G181" s="313">
        <v>44251</v>
      </c>
      <c r="H181" s="317">
        <v>6.91</v>
      </c>
      <c r="I181" s="317">
        <v>7.2698999999999998</v>
      </c>
      <c r="J181" s="313">
        <v>44400</v>
      </c>
      <c r="K181" s="97">
        <f t="shared" si="6"/>
        <v>0.67312348668280886</v>
      </c>
      <c r="L181" s="142">
        <f t="shared" si="7"/>
        <v>0.76026634382566582</v>
      </c>
      <c r="M181" s="312">
        <v>44407</v>
      </c>
      <c r="N181" s="68"/>
      <c r="O181" s="291">
        <v>3214497</v>
      </c>
      <c r="P181" s="291">
        <v>2220000</v>
      </c>
      <c r="Q181" s="291">
        <v>149</v>
      </c>
      <c r="R181" s="68" t="s">
        <v>131</v>
      </c>
      <c r="S181" s="68" t="s">
        <v>281</v>
      </c>
      <c r="T181" s="68" t="s">
        <v>398</v>
      </c>
      <c r="U181" s="68">
        <v>120</v>
      </c>
      <c r="V181" s="68">
        <v>221840</v>
      </c>
      <c r="W181" s="68"/>
      <c r="X181" s="68">
        <v>4.26</v>
      </c>
      <c r="Y181" s="68">
        <v>2.8311924999999958</v>
      </c>
      <c r="Z181" s="68">
        <v>3.2781940000000009</v>
      </c>
      <c r="AA181" s="68">
        <v>3.612864000000001</v>
      </c>
      <c r="AB181" s="68">
        <v>3.3900459999999999</v>
      </c>
      <c r="AC181" s="68">
        <v>3.9393150000000019</v>
      </c>
      <c r="AD181" s="68">
        <v>4.0746428571428552</v>
      </c>
      <c r="AE181" s="68">
        <v>4.2093749999999961</v>
      </c>
      <c r="AF181" s="68">
        <f>IF($Z$3="yes", 0.009276320633016/$X181, 0.009276320633016)</f>
        <v>2.1775400546985915E-3</v>
      </c>
      <c r="AG181" s="68">
        <f>IF($Z$3="yes", 0.0140416729672964/$X181, 0.0140416729672964)</f>
        <v>3.2961673632151177E-3</v>
      </c>
      <c r="AH181" s="68">
        <f>IF($Z$3="yes", 0.0257179063625449/$X181, 0.0257179063625449)</f>
        <v>6.0370672212546718E-3</v>
      </c>
      <c r="AI181" s="68">
        <f>IF($Z$3="yes", 0.0200233517406962/$X181, 0.0200233517406962)</f>
        <v>4.7003173100225821E-3</v>
      </c>
      <c r="AJ181" s="68">
        <f>IF($Z$3="yes", 0.0451648872180415/$X181, 0.0451648872180415)</f>
        <v>1.0602086201418193E-2</v>
      </c>
      <c r="AK181" s="68">
        <f>IF($Z$3="yes", 0.0443626373626425/$X181, 0.0443626373626425)</f>
        <v>1.0413764639117959E-2</v>
      </c>
      <c r="AL181" s="68">
        <f>IF($Z$3="yes", 0.0462499999999904/$X181, 0.0462499999999904)</f>
        <v>1.0856807511734836E-2</v>
      </c>
      <c r="AM181" s="68">
        <f>IF($Z$3="yes", 0.447001500000005/$X181, 0.447001500000005)</f>
        <v>0.10492992957746597</v>
      </c>
      <c r="AN181" s="68">
        <f>IF($Z$3="yes", 0.781671500000005/$X181, 0.781671500000005)</f>
        <v>0.18349096244131571</v>
      </c>
      <c r="AO181" s="68">
        <f>IF($Z$3="yes", 0.558853500000004/$X181, 0.558853500000004)</f>
        <v>0.13118626760563476</v>
      </c>
      <c r="AP181" s="68">
        <f>IF($Z$3="yes", 1.1081225/$X181, 1.1081225)</f>
        <v>0.26012265258215961</v>
      </c>
      <c r="AQ181" s="68">
        <f>IF($Z$3="yes", 1.24345035714285/$X181, 1.24345035714285)</f>
        <v>0.2918897551978521</v>
      </c>
      <c r="AR181" s="68">
        <f>IF($Z$3="yes", 1.3781825/$X181, 1.3781825)</f>
        <v>0.32351701877934275</v>
      </c>
      <c r="AS181" s="68">
        <f>IF($Z$3="yes", 0.33467/$X181, 0.33467)</f>
        <v>7.8561032863849772E-2</v>
      </c>
      <c r="AT181" s="68">
        <f>IF($Z$3="yes", 0.111851999999999/$X181, 0.111851999999999)</f>
        <v>2.625633802816878E-2</v>
      </c>
      <c r="AU181" s="88">
        <f>IF($Z$3="yes", 0.661121000000001/$X181, 0.661121000000001)</f>
        <v>0.15519272300469505</v>
      </c>
      <c r="AV181" s="88">
        <f>IF($Z$3="yes", 0.796448857142854/$X181, 0.796448857142854)</f>
        <v>0.18695982562038826</v>
      </c>
      <c r="AW181" s="88">
        <f>IF($Z$3="yes", 0.931180999999995/$X181, 0.931180999999995)</f>
        <v>0.21858708920187678</v>
      </c>
      <c r="AX181" s="88">
        <f>IF($Z$3="yes", 0.222818000000001/$X181, 0.222818000000001)</f>
        <v>5.2304694835680988E-2</v>
      </c>
      <c r="AY181" s="88">
        <f>IF($Z$3="yes", 0.549269000000002/$X181, 0.549269000000002)</f>
        <v>0.12893638497652629</v>
      </c>
      <c r="AZ181" s="88">
        <f>IF($Z$3="yes", 0.684596857142854/$X181, 0.684596857142854)</f>
        <v>0.16070348759221925</v>
      </c>
      <c r="BA181" s="88">
        <f>IF($Z$3="yes", 0.819328999999995/$X181, 0.819328999999995)</f>
        <v>0.19233075117370776</v>
      </c>
      <c r="BB181" s="88">
        <f>IF($Z$3="yes", 0.326451/$X181, 0.326451)</f>
        <v>7.6631690140845074E-2</v>
      </c>
      <c r="BC181" s="88">
        <f>IF($Z$3="yes", 0.461778857142853/$X181, 0.461778857142853)</f>
        <v>0.10839879275653827</v>
      </c>
      <c r="BD181" s="88">
        <f>IF($Z$3="yes", 0.596510999999994/$X181, 0.596510999999994)</f>
        <v>0.14002605633802678</v>
      </c>
      <c r="BE181" s="88">
        <f>IF($Z$3="yes", 0.135327857142852/$X181, 0.135327857142852)</f>
        <v>3.176710261569296E-2</v>
      </c>
      <c r="BF181" s="88">
        <f>IF($Z$3="yes", 0.270059999999993/$X181, 0.270059999999993)</f>
        <v>6.3394366197181445E-2</v>
      </c>
      <c r="BG181" s="88">
        <f>IF($Z$3="yes", 0.13473214285714/$X181, 0.13473214285714)</f>
        <v>3.1627263581488263E-2</v>
      </c>
      <c r="BH181" s="88">
        <f>IF($Z$3="yes", 0.933751108843536/$X181, 0.933751108843536)</f>
        <v>0.2191904011369803</v>
      </c>
      <c r="BI181" s="68"/>
      <c r="BJ181" s="68"/>
      <c r="BK181" s="68">
        <f>IF($BL$3="yes", MAX(0, (221840 - 336553.6) / 155896.979566122), 336553.6)</f>
        <v>336553.6</v>
      </c>
      <c r="BL181" s="68">
        <f>IF($BL$3="yes", MAX(0, (221840 - 260747.6) / 156588.180815922), 260747.6)</f>
        <v>260747.6</v>
      </c>
      <c r="BM181" s="68">
        <f>IF($BL$3="yes", MAX(0, (221840 - 184935.8) / 148019.013698105), 184935.8)</f>
        <v>184935.8</v>
      </c>
      <c r="BN181" s="68">
        <f>IF($BL$3="yes", MAX(0, (221840 - 118135.72) / 143534.826211904), 118135.72)</f>
        <v>118135.72</v>
      </c>
      <c r="BO181" s="68">
        <f>IF($BL$3="yes", MAX(0, (221840 - 74109.76) / 114496.519956906), 74109.76)</f>
        <v>74109.759999999995</v>
      </c>
      <c r="BP181" s="68">
        <f>IF($BL$3="yes", MAX(0, (221840 - 132411.615) / 526333.935011601), 132411.615)</f>
        <v>132411.61499999999</v>
      </c>
      <c r="BQ181" s="68">
        <v>58.46303744060635</v>
      </c>
      <c r="BR181" s="68"/>
      <c r="BS181" s="68"/>
      <c r="BT181" s="68">
        <v>-2798206.1221575481</v>
      </c>
      <c r="BU181" s="68">
        <v>40369.839947406203</v>
      </c>
      <c r="BV181" s="68">
        <f>IF($Z$3="yes", 0.422501317558318/$X181, 0.422501317558318)</f>
        <v>9.9178713041858685E-2</v>
      </c>
      <c r="BW181" s="68">
        <f>IF($Z$3="yes", 0.30165023166917/$X181, 0.30165023166917)</f>
        <v>7.080991353736385E-2</v>
      </c>
      <c r="BX181" s="68">
        <f>$BW$180 - $BV$180</f>
        <v>-1.2188790289851745E-2</v>
      </c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81"/>
      <c r="CR181" s="81"/>
      <c r="CS181" s="68"/>
      <c r="CT181" s="68"/>
      <c r="CU181" s="68"/>
    </row>
    <row r="182" spans="1:99" ht="15.75" customHeight="1" thickBot="1" x14ac:dyDescent="0.3">
      <c r="A182" s="84" t="s">
        <v>194</v>
      </c>
      <c r="B182" s="67" t="s">
        <v>128</v>
      </c>
      <c r="C182" s="67" t="s">
        <v>525</v>
      </c>
      <c r="D182" s="67" t="s">
        <v>331</v>
      </c>
      <c r="E182" s="67">
        <v>1</v>
      </c>
      <c r="F182" s="85">
        <v>7.74</v>
      </c>
      <c r="G182" s="313">
        <v>44251</v>
      </c>
      <c r="H182" s="317">
        <v>7.29</v>
      </c>
      <c r="I182" s="85">
        <v>12.97</v>
      </c>
      <c r="J182" s="313">
        <v>44252</v>
      </c>
      <c r="K182" s="130">
        <f t="shared" si="6"/>
        <v>-5.8139534883720922E-2</v>
      </c>
      <c r="L182" s="206">
        <f t="shared" si="7"/>
        <v>0.67571059431524549</v>
      </c>
      <c r="M182" s="312">
        <v>44407</v>
      </c>
      <c r="N182" s="68"/>
      <c r="O182" s="291">
        <v>2823410</v>
      </c>
      <c r="P182" s="291">
        <v>2380000</v>
      </c>
      <c r="Q182" s="291">
        <v>1</v>
      </c>
      <c r="R182" s="68" t="s">
        <v>131</v>
      </c>
      <c r="S182" s="68" t="s">
        <v>192</v>
      </c>
      <c r="T182" s="68" t="s">
        <v>332</v>
      </c>
      <c r="U182" s="68">
        <v>308</v>
      </c>
      <c r="V182" s="68">
        <v>1344434</v>
      </c>
      <c r="W182" s="68"/>
      <c r="X182" s="68">
        <v>8.31</v>
      </c>
      <c r="Y182" s="68">
        <v>4.7498794999999996</v>
      </c>
      <c r="Z182" s="68">
        <v>5.3729359999999939</v>
      </c>
      <c r="AA182" s="68">
        <v>6.5401999999999987</v>
      </c>
      <c r="AB182" s="68">
        <v>5.6651999999999987</v>
      </c>
      <c r="AC182" s="68">
        <v>9.1255000000000024</v>
      </c>
      <c r="AD182" s="68">
        <v>8.7157142857142791</v>
      </c>
      <c r="AE182" s="68">
        <v>8.3974999999999973</v>
      </c>
      <c r="AF182" s="68">
        <f>IF($Z$3="yes", 0.0201773136578415/$X182, 0.0201773136578415)</f>
        <v>2.4280762524478338E-3</v>
      </c>
      <c r="AG182" s="68">
        <f>IF($Z$3="yes", 0.0510821722172221/$X182, 0.0510821722172221)</f>
        <v>6.1470724689797951E-3</v>
      </c>
      <c r="AH182" s="68">
        <f>IF($Z$3="yes", 0.129861704681873/$X182, 0.129861704681873)</f>
        <v>1.5627160611537062E-2</v>
      </c>
      <c r="AI182" s="68">
        <f>IF($Z$3="yes", 0.113517406962785/$X182, 0.113517406962785)</f>
        <v>1.3660337781321901E-2</v>
      </c>
      <c r="AJ182" s="68">
        <f>IF($Z$3="yes", -0.126187969924819/$X182, -0.126187969924819)</f>
        <v>-1.5185074599857882E-2</v>
      </c>
      <c r="AK182" s="68">
        <f>IF($Z$3="yes", -0.0979340659340236/$X182, -0.0979340659340236)</f>
        <v>-1.1785086153312105E-2</v>
      </c>
      <c r="AL182" s="68">
        <f>IF($Z$3="yes", -0.183571428571451/$X182, -0.183571428571451)</f>
        <v>-2.2090424617503129E-2</v>
      </c>
      <c r="AM182" s="68">
        <f>IF($Z$3="yes", 0.623056499999993/$X182, 0.623056499999993)</f>
        <v>7.4976714801443203E-2</v>
      </c>
      <c r="AN182" s="68">
        <f>IF($Z$3="yes", 1.79032049999999/$X182, 1.79032049999999)</f>
        <v>0.2154416967509013</v>
      </c>
      <c r="AO182" s="68">
        <f>IF($Z$3="yes", 0.915320499999998/$X182, 0.915320499999998)</f>
        <v>0.11014687123947027</v>
      </c>
      <c r="AP182" s="68">
        <f>IF($Z$3="yes", 4.3756205/$X182, 4.3756205)</f>
        <v>0.52654879663056553</v>
      </c>
      <c r="AQ182" s="68">
        <f>IF($Z$3="yes", 3.96583478571427/$X182, 3.96583478571427)</f>
        <v>0.47723643630737306</v>
      </c>
      <c r="AR182" s="68">
        <f>IF($Z$3="yes", 3.64762049999999/$X182, 3.64762049999999)</f>
        <v>0.43894350180505293</v>
      </c>
      <c r="AS182" s="68">
        <f>IF($Z$3="yes", 1.167264/$X182, 1.167264)</f>
        <v>0.14046498194945847</v>
      </c>
      <c r="AT182" s="68">
        <f>IF($Z$3="yes", 0.292264000000004/$X182, 0.292264000000004)</f>
        <v>3.5170156438026956E-2</v>
      </c>
      <c r="AU182" s="88">
        <f>IF($Z$3="yes", 3.752564/$X182, 3.752564)</f>
        <v>0.45157208182912151</v>
      </c>
      <c r="AV182" s="88">
        <f>IF($Z$3="yes", 3.34277828571428/$X182, 3.34277828571428)</f>
        <v>0.40225972150593015</v>
      </c>
      <c r="AW182" s="88">
        <f>IF($Z$3="yes", 3.024564/$X182, 3.024564)</f>
        <v>0.36396678700361007</v>
      </c>
      <c r="AX182" s="88">
        <f>IF($Z$3="yes", 0.875/$X182, 0.875)</f>
        <v>0.105294825511432</v>
      </c>
      <c r="AY182" s="88">
        <f>IF($Z$3="yes", 3.4603/$X182, 3.4603)</f>
        <v>0.41640192539109505</v>
      </c>
      <c r="AZ182" s="88">
        <f>IF($Z$3="yes", 3.05051428571428/$X182, 3.05051428571428)</f>
        <v>0.36708956506790369</v>
      </c>
      <c r="BA182" s="88">
        <f>IF($Z$3="yes", 2.73229999999999/$X182, 2.73229999999999)</f>
        <v>0.32879663056558245</v>
      </c>
      <c r="BB182" s="88">
        <f>IF($Z$3="yes", 2.5853/$X182, 2.5853)</f>
        <v>0.31110709987966306</v>
      </c>
      <c r="BC182" s="88">
        <f>IF($Z$3="yes", 2.17551428571428/$X182, 2.17551428571428)</f>
        <v>0.2617947395564717</v>
      </c>
      <c r="BD182" s="88">
        <f>IF($Z$3="yes", 1.85729999999999/$X182, 1.85729999999999)</f>
        <v>0.2235018050541504</v>
      </c>
      <c r="BE182" s="88">
        <f>IF($Z$3="yes", 0.409785714285723/$X182, 0.409785714285723)</f>
        <v>4.9312360323191695E-2</v>
      </c>
      <c r="BF182" s="88">
        <f>IF($Z$3="yes", 0.728000000000005/$X182, 0.728000000000005)</f>
        <v>8.760529482551202E-2</v>
      </c>
      <c r="BG182" s="88">
        <f>IF($Z$3="yes", 0.318214285714281/$X182, 0.318214285714281)</f>
        <v>3.8292934502320214E-2</v>
      </c>
      <c r="BH182" s="88">
        <f>IF($Z$3="yes", 2.8471082585034/$X182, 2.8471082585034)</f>
        <v>0.34261230547574006</v>
      </c>
      <c r="BI182" s="68"/>
      <c r="BJ182" s="68"/>
      <c r="BK182" s="68">
        <f>IF($BL$3="yes", MAX(0, (1344434 - 618602) / 371867.143731736), 618602)</f>
        <v>618602</v>
      </c>
      <c r="BL182" s="68">
        <f>IF($BL$3="yes", MAX(0, (1344434 - 562294.9) / 314199.811310398), 562294.9)</f>
        <v>562294.9</v>
      </c>
      <c r="BM182" s="68">
        <f>IF($BL$3="yes", MAX(0, (1344434 - 1315148.2) / 1727124.47663541), 1315148.2)</f>
        <v>1315148.2</v>
      </c>
      <c r="BN182" s="68">
        <f>IF($BL$3="yes", MAX(0, (1344434 - 864587.7) / 1533827.99705524), 864587.7)</f>
        <v>864587.7</v>
      </c>
      <c r="BO182" s="68">
        <f>IF($BL$3="yes", MAX(0, (1344434 - 454262.03) / 1160079.55532187), 454262.03)</f>
        <v>454262.03</v>
      </c>
      <c r="BP182" s="68">
        <f>IF($BL$3="yes", MAX(0, (1344434 - 410548.945) / 1111778.61118676), 410548.945)</f>
        <v>410548.94500000001</v>
      </c>
      <c r="BQ182" s="68">
        <v>52.403085303617083</v>
      </c>
      <c r="BR182" s="68"/>
      <c r="BS182" s="68"/>
      <c r="BT182" s="68">
        <v>-15384831.47816384</v>
      </c>
      <c r="BU182" s="68">
        <v>108112.4640650097</v>
      </c>
      <c r="BV182" s="68">
        <f>IF($Z$3="yes", 1.68447161768296/$X182, 1.68447161768296)</f>
        <v>0.20270416578615641</v>
      </c>
      <c r="BW182" s="68">
        <f>IF($Z$3="yes", 1.08124666711291/$X182, 1.08124666711291)</f>
        <v>0.13011391902682429</v>
      </c>
      <c r="BX182" s="68">
        <f>$BW$179 - $BV$179</f>
        <v>-3.2619016538808027E-2</v>
      </c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81"/>
      <c r="CR182" s="81"/>
      <c r="CS182" s="68"/>
      <c r="CT182" s="68"/>
      <c r="CU182" s="68"/>
    </row>
    <row r="183" spans="1:99" ht="15.75" customHeight="1" thickBot="1" x14ac:dyDescent="0.3">
      <c r="A183" s="84" t="s">
        <v>194</v>
      </c>
      <c r="B183" s="67" t="s">
        <v>128</v>
      </c>
      <c r="C183" s="67" t="s">
        <v>525</v>
      </c>
      <c r="D183" s="67" t="s">
        <v>535</v>
      </c>
      <c r="E183" s="67">
        <v>1</v>
      </c>
      <c r="F183" s="85">
        <v>11.9</v>
      </c>
      <c r="G183" s="313">
        <v>44251</v>
      </c>
      <c r="H183" s="317">
        <v>18.14</v>
      </c>
      <c r="I183" s="85">
        <v>43.92</v>
      </c>
      <c r="J183" s="313">
        <v>44349</v>
      </c>
      <c r="K183" s="193">
        <f t="shared" si="6"/>
        <v>0.52436974789915958</v>
      </c>
      <c r="L183" s="149">
        <f t="shared" si="7"/>
        <v>2.6907563025210086</v>
      </c>
      <c r="M183" s="312">
        <v>44407</v>
      </c>
      <c r="N183" s="68"/>
      <c r="O183" s="291">
        <v>8516823</v>
      </c>
      <c r="P183" s="291">
        <v>2570000</v>
      </c>
      <c r="Q183" s="291">
        <v>98</v>
      </c>
      <c r="R183" s="68" t="s">
        <v>131</v>
      </c>
      <c r="S183" s="68" t="s">
        <v>148</v>
      </c>
      <c r="T183" s="68" t="s">
        <v>536</v>
      </c>
      <c r="U183" s="68">
        <v>876</v>
      </c>
      <c r="V183" s="68">
        <v>13351739</v>
      </c>
      <c r="W183" s="68"/>
      <c r="X183" s="68">
        <v>18.440000000000001</v>
      </c>
      <c r="Y183" s="68">
        <v>4.200852999999996</v>
      </c>
      <c r="Z183" s="68">
        <v>6.6886429999999963</v>
      </c>
      <c r="AA183" s="68">
        <v>11.177913999999999</v>
      </c>
      <c r="AB183" s="68">
        <v>8.7133780000000023</v>
      </c>
      <c r="AC183" s="68">
        <v>23.39</v>
      </c>
      <c r="AD183" s="68">
        <v>15.946428571428569</v>
      </c>
      <c r="AE183" s="68">
        <v>14.32749999999999</v>
      </c>
      <c r="AF183" s="68">
        <f>IF($Z$3="yes", 0.0633124858621468/$X183, 0.0633124858621468)</f>
        <v>3.4334319881858351E-3</v>
      </c>
      <c r="AG183" s="68">
        <f>IF($Z$3="yes", 0.194853854785479/$X183, 0.194853854785479)</f>
        <v>1.0566911864722289E-2</v>
      </c>
      <c r="AH183" s="68">
        <f>IF($Z$3="yes", 0.477001963985594/$X183, 0.477001963985594)</f>
        <v>2.5867785465596205E-2</v>
      </c>
      <c r="AI183" s="68">
        <f>IF($Z$3="yes", 0.543482962785114/$X183, 0.543482962785114)</f>
        <v>2.9473045704181886E-2</v>
      </c>
      <c r="AJ183" s="68">
        <f>IF($Z$3="yes", -1.90575939849624/$X183, -1.90575939849624)</f>
        <v>-0.10334920816140129</v>
      </c>
      <c r="AK183" s="68">
        <f>IF($Z$3="yes", -0.425340659340657/$X183, -0.425340659340657)</f>
        <v>-2.3066196276608296E-2</v>
      </c>
      <c r="AL183" s="68">
        <f>IF($Z$3="yes", 0.145000000000068/$X183, 0.145000000000068)</f>
        <v>7.8633405639950103E-3</v>
      </c>
      <c r="AM183" s="68">
        <f>IF($Z$3="yes", 2.48779/$X183, 2.48779)</f>
        <v>0.13491268980477222</v>
      </c>
      <c r="AN183" s="68">
        <f>IF($Z$3="yes", 6.977061/$X183, 6.977061)</f>
        <v>0.37836556399132321</v>
      </c>
      <c r="AO183" s="68">
        <f>IF($Z$3="yes", 4.512525/$X183, 4.512525)</f>
        <v>0.24471393709327549</v>
      </c>
      <c r="AP183" s="68">
        <f>IF($Z$3="yes", 19.189147/$X183, 19.189147)</f>
        <v>1.0406261930585681</v>
      </c>
      <c r="AQ183" s="68">
        <f>IF($Z$3="yes", 11.7455755714285/$X183, 11.7455755714285)</f>
        <v>0.63696179888440885</v>
      </c>
      <c r="AR183" s="68">
        <f>IF($Z$3="yes", 10.1266469999999/$X183, 10.1266469999999)</f>
        <v>0.54916740780910522</v>
      </c>
      <c r="AS183" s="68">
        <f>IF($Z$3="yes", 4.489271/$X183, 4.489271)</f>
        <v>0.24345287418655093</v>
      </c>
      <c r="AT183" s="68">
        <f>IF($Z$3="yes", 2.024735/$X183, 2.024735)</f>
        <v>0.10980124728850325</v>
      </c>
      <c r="AU183" s="88">
        <f>IF($Z$3="yes", 16.701357/$X183, 16.701357)</f>
        <v>0.90571350325379607</v>
      </c>
      <c r="AV183" s="88">
        <f>IF($Z$3="yes", 9.25778557142857/$X183, 9.25778557142857)</f>
        <v>0.5020491090796404</v>
      </c>
      <c r="AW183" s="88">
        <f>IF($Z$3="yes", 7.63885699999999/$X183, 7.63885699999999)</f>
        <v>0.41425471800433783</v>
      </c>
      <c r="AX183" s="88">
        <f>IF($Z$3="yes", 2.46453599999999/$X183, 2.46453599999999)</f>
        <v>0.13365162689804719</v>
      </c>
      <c r="AY183" s="88">
        <f>IF($Z$3="yes", 14.6766219999999/$X183, 14.6766219999999)</f>
        <v>0.79591225596528736</v>
      </c>
      <c r="AZ183" s="88">
        <f>IF($Z$3="yes", 7.23305057142856/$X183, 7.23305057142856)</f>
        <v>0.39224786179113663</v>
      </c>
      <c r="BA183" s="88">
        <f>IF($Z$3="yes", 5.61412199999998/$X183, 5.61412199999998)</f>
        <v>0.30445347071583401</v>
      </c>
      <c r="BB183" s="88">
        <f>IF($Z$3="yes", 12.212086/$X183, 12.212086)</f>
        <v>0.66226062906724503</v>
      </c>
      <c r="BC183" s="88">
        <f>IF($Z$3="yes", 4.76851457142857/$X183, 4.76851457142857)</f>
        <v>0.25859623489308947</v>
      </c>
      <c r="BD183" s="88">
        <f>IF($Z$3="yes", 3.14958599999999/$X183, 3.14958599999999)</f>
        <v>0.17080184381778687</v>
      </c>
      <c r="BE183" s="88">
        <f>IF($Z$3="yes", 7.44357142857142/$X183, 7.44357142857142)</f>
        <v>0.40366439417415506</v>
      </c>
      <c r="BF183" s="88">
        <f>IF($Z$3="yes", 9.0625/$X183, 9.0625)</f>
        <v>0.49145878524945769</v>
      </c>
      <c r="BG183" s="88">
        <f>IF($Z$3="yes", 1.61892857142857/$X183, 1.61892857142857)</f>
        <v>8.7794391075302056E-2</v>
      </c>
      <c r="BH183" s="88">
        <f>IF($Z$3="yes", 8.77158789795918/$X183, 8.77158789795918)</f>
        <v>0.47568264088715717</v>
      </c>
      <c r="BI183" s="68"/>
      <c r="BJ183" s="68"/>
      <c r="BK183" s="68">
        <f>IF($BL$3="yes", MAX(0, (13351739 - 4594139.6) / 4880154.99813121), 4594139.6)</f>
        <v>4594139.5999999996</v>
      </c>
      <c r="BL183" s="68">
        <f>IF($BL$3="yes", MAX(0, (13351739 - 2973587.4) / 3843774.58151664), 2973587.4)</f>
        <v>2973587.4</v>
      </c>
      <c r="BM183" s="68">
        <f>IF($BL$3="yes", MAX(0, (13351739 - 5529549.05) / 5974415.14891108), 5529549.05)</f>
        <v>5529549.0499999998</v>
      </c>
      <c r="BN183" s="68">
        <f>IF($BL$3="yes", MAX(0, (13351739 - 2777552.76) / 4998955.14308945), 2777552.76)</f>
        <v>2777552.76</v>
      </c>
      <c r="BO183" s="68">
        <f>IF($BL$3="yes", MAX(0, (13351739 - 1395405.69) / 3795460.74993421), 1395405.69)</f>
        <v>1395405.69</v>
      </c>
      <c r="BP183" s="68">
        <f>IF($BL$3="yes", MAX(0, (13351739 - 729464.655) / 2766434.20434859), 729464.655)</f>
        <v>729464.65500000003</v>
      </c>
      <c r="BQ183" s="68">
        <v>52.582133853789728</v>
      </c>
      <c r="BR183" s="68"/>
      <c r="BS183" s="68"/>
      <c r="BT183" s="68">
        <v>-14659838.906503219</v>
      </c>
      <c r="BU183" s="68">
        <v>1864345.6490009581</v>
      </c>
      <c r="BV183" s="68">
        <f>IF($Z$3="yes", 7.92441931778962/$X183, 7.92441931778962)</f>
        <v>0.42974074391483835</v>
      </c>
      <c r="BW183" s="68">
        <f>IF($Z$3="yes", 4.95678150288519/$X183, 4.95678150288519)</f>
        <v>0.2688059383343378</v>
      </c>
      <c r="BX183" s="68">
        <f>$BW$178 - $BV$178</f>
        <v>-5.7276131601960836E-2</v>
      </c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81"/>
      <c r="CR183" s="81"/>
      <c r="CS183" s="68"/>
      <c r="CT183" s="68"/>
      <c r="CU183" s="68"/>
    </row>
    <row r="184" spans="1:99" ht="15.75" customHeight="1" thickBot="1" x14ac:dyDescent="0.3">
      <c r="A184" s="84" t="s">
        <v>537</v>
      </c>
      <c r="B184" s="67" t="s">
        <v>128</v>
      </c>
      <c r="C184" s="67" t="s">
        <v>525</v>
      </c>
      <c r="D184" s="67" t="s">
        <v>248</v>
      </c>
      <c r="E184" s="67">
        <v>2</v>
      </c>
      <c r="F184" s="85">
        <v>3.79</v>
      </c>
      <c r="G184" s="313">
        <v>44251</v>
      </c>
      <c r="H184" s="317">
        <v>1.9</v>
      </c>
      <c r="I184" s="85">
        <v>4.16</v>
      </c>
      <c r="J184" s="313">
        <v>44257</v>
      </c>
      <c r="K184" s="125">
        <f t="shared" si="6"/>
        <v>-0.49868073878627972</v>
      </c>
      <c r="L184" s="115">
        <f t="shared" si="7"/>
        <v>9.7625329815303363E-2</v>
      </c>
      <c r="M184" s="312">
        <v>44407</v>
      </c>
      <c r="N184" s="68"/>
      <c r="O184" s="291">
        <v>67424993</v>
      </c>
      <c r="P184" s="291">
        <v>18800000</v>
      </c>
      <c r="Q184" s="291">
        <v>6</v>
      </c>
      <c r="R184" s="68" t="s">
        <v>152</v>
      </c>
      <c r="S184" s="68" t="s">
        <v>192</v>
      </c>
      <c r="T184" s="68" t="s">
        <v>249</v>
      </c>
      <c r="U184" s="68">
        <v>972</v>
      </c>
      <c r="V184" s="68">
        <v>2536516</v>
      </c>
      <c r="W184" s="68"/>
      <c r="X184" s="68">
        <v>3.8</v>
      </c>
      <c r="Y184" s="68">
        <v>2.363452500000002</v>
      </c>
      <c r="Z184" s="68">
        <v>3.9115190000000029</v>
      </c>
      <c r="AA184" s="68">
        <v>4.0463999999999984</v>
      </c>
      <c r="AB184" s="68">
        <v>4.3279999999999976</v>
      </c>
      <c r="AC184" s="68">
        <v>3.9814999999999992</v>
      </c>
      <c r="AD184" s="68">
        <v>4.0792857142857146</v>
      </c>
      <c r="AE184" s="68">
        <v>4.1399999999999997</v>
      </c>
      <c r="AF184" s="68">
        <f>IF($Z$3="yes", 0.0248158598214953/$X184, 0.0248158598214953)</f>
        <v>6.5304894267092899E-3</v>
      </c>
      <c r="AG184" s="68">
        <f>IF($Z$3="yes", 0.0164853483348331/$X184, 0.0164853483348331)</f>
        <v>4.3382495617981841E-3</v>
      </c>
      <c r="AH184" s="68">
        <f>IF($Z$3="yes", -0.00254501800720181/$X184, -0.00254501800720181)</f>
        <v>-6.6974158084258156E-4</v>
      </c>
      <c r="AI184" s="68">
        <f>IF($Z$3="yes", -0.0388148859543809/$X184, -0.0388148859543809)</f>
        <v>-1.0214443672205501E-2</v>
      </c>
      <c r="AJ184" s="68">
        <f>IF($Z$3="yes", 0.0219022556390996/$X184, 0.0219022556390996)</f>
        <v>5.7637514839735792E-3</v>
      </c>
      <c r="AK184" s="68">
        <f>IF($Z$3="yes", 0.00657142857142009/$X184, 0.00657142857142009)</f>
        <v>1.7293233082684447E-3</v>
      </c>
      <c r="AL184" s="68">
        <f>IF($Z$3="yes", -0.0878571428571834/$X184, -0.0878571428571834)</f>
        <v>-2.3120300751890373E-2</v>
      </c>
      <c r="AM184" s="68">
        <f>IF($Z$3="yes", 1.5480665/$X184, 1.5480665)</f>
        <v>0.40738592105263161</v>
      </c>
      <c r="AN184" s="68">
        <f>IF($Z$3="yes", 1.68294749999999/$X184, 1.68294749999999)</f>
        <v>0.442880921052629</v>
      </c>
      <c r="AO184" s="68">
        <f>IF($Z$3="yes", 1.96454749999999/$X184, 1.96454749999999)</f>
        <v>0.51698618421052367</v>
      </c>
      <c r="AP184" s="68">
        <f>IF($Z$3="yes", 1.61804749999999/$X184, 1.61804749999999)</f>
        <v>0.42580197368420791</v>
      </c>
      <c r="AQ184" s="68">
        <f>IF($Z$3="yes", 1.71583321428571/$X184, 1.71583321428571)</f>
        <v>0.45153505639097635</v>
      </c>
      <c r="AR184" s="68">
        <f>IF($Z$3="yes", 1.77654749999999/$X184, 1.77654749999999)</f>
        <v>0.46751249999999739</v>
      </c>
      <c r="AS184" s="68">
        <f>IF($Z$3="yes", 0.134880999999994/$X184, 0.134880999999994)</f>
        <v>3.5494999999998424E-2</v>
      </c>
      <c r="AT184" s="68">
        <f>IF($Z$3="yes", 0.416480999999994/$X184, 0.416480999999994)</f>
        <v>0.10960026315789316</v>
      </c>
      <c r="AU184" s="88">
        <f>IF($Z$3="yes", 0.0699809999999963/$X184, 0.0699809999999963)</f>
        <v>1.8416052631577973E-2</v>
      </c>
      <c r="AV184" s="88">
        <f>IF($Z$3="yes", 0.167766714285711/$X184, 0.167766714285711)</f>
        <v>4.4149135338345004E-2</v>
      </c>
      <c r="AW184" s="88">
        <f>IF($Z$3="yes", 0.228480999999996/$X184, 0.228480999999996)</f>
        <v>6.0126578947367372E-2</v>
      </c>
      <c r="AX184" s="88">
        <f>IF($Z$3="yes", 0.2816/$X184, 0.2816)</f>
        <v>7.4105263157894743E-2</v>
      </c>
      <c r="AY184" s="88">
        <f>IF($Z$3="yes", 0.346499999999998/$X184, 0.346499999999998)</f>
        <v>9.1184210526315257E-2</v>
      </c>
      <c r="AZ184" s="88">
        <f>IF($Z$3="yes", 0.248714285714283/$X184, 0.248714285714283)</f>
        <v>6.5451127819548163E-2</v>
      </c>
      <c r="BA184" s="88">
        <f>IF($Z$3="yes", 0.187999999999997/$X184, 0.187999999999997)</f>
        <v>4.9473684210525531E-2</v>
      </c>
      <c r="BB184" s="88">
        <f>IF($Z$3="yes", 0.0648999999999984/$X184, 0.0648999999999984)</f>
        <v>1.7078947368420635E-2</v>
      </c>
      <c r="BC184" s="88">
        <f>IF($Z$3="yes", 0.032885714285717/$X184, 0.032885714285717)</f>
        <v>8.6541353383465802E-3</v>
      </c>
      <c r="BD184" s="88">
        <f>IF($Z$3="yes", 0.0936000000000021/$X184, 0.0936000000000021)</f>
        <v>2.4631578947368973E-2</v>
      </c>
      <c r="BE184" s="88">
        <f>IF($Z$3="yes", 0.0977857142857154/$X184, 0.0977857142857154)</f>
        <v>2.5733082706767212E-2</v>
      </c>
      <c r="BF184" s="88">
        <f>IF($Z$3="yes", 0.1585/$X184, 0.1585)</f>
        <v>4.1710526315789476E-2</v>
      </c>
      <c r="BG184" s="88">
        <f>IF($Z$3="yes", 0.060714285714285/$X184, 0.060714285714285)</f>
        <v>1.5977443609022368E-2</v>
      </c>
      <c r="BH184" s="88">
        <f>IF($Z$3="yes", 0.851669149659862/$X184, 0.851669149659862)</f>
        <v>0.22412346043680578</v>
      </c>
      <c r="BI184" s="68"/>
      <c r="BJ184" s="68"/>
      <c r="BK184" s="68">
        <f>IF($BL$3="yes", MAX(0, (2536516 - 4068479.6) / 781738.903004986), 4068479.6)</f>
        <v>4068479.6</v>
      </c>
      <c r="BL184" s="68">
        <f>IF($BL$3="yes", MAX(0, (2536516 - 6718341.9) / 5346036.4385475), 6718341.9)</f>
        <v>6718341.9000000004</v>
      </c>
      <c r="BM184" s="68">
        <f>IF($BL$3="yes", MAX(0, (2536516 - 4973466.75) / 4305162.27964738), 4973466.75)</f>
        <v>4973466.75</v>
      </c>
      <c r="BN184" s="68">
        <f>IF($BL$3="yes", MAX(0, (2536516 - 3452995.26) / 3441417.94800281), 3452995.26)</f>
        <v>3452995.26</v>
      </c>
      <c r="BO184" s="68">
        <f>IF($BL$3="yes", MAX(0, (2536516 - 9328185.72) / 28992552.1075754), 9328185.72)</f>
        <v>9328185.7200000007</v>
      </c>
      <c r="BP184" s="68">
        <f>IF($BL$3="yes", MAX(0, (2536516 - 4754333.295) / 21006997.4278509), 4754333.295)</f>
        <v>4754333.2949999999</v>
      </c>
      <c r="BQ184" s="68">
        <v>46.466377428856262</v>
      </c>
      <c r="BR184" s="68"/>
      <c r="BS184" s="68"/>
      <c r="BT184" s="68">
        <v>-29538270.48013432</v>
      </c>
      <c r="BU184" s="68">
        <v>-960472.38443239406</v>
      </c>
      <c r="BV184" s="68">
        <f>IF($Z$3="yes", 0.500652217540323/$X184, 0.500652217540323)</f>
        <v>0.1317505835632429</v>
      </c>
      <c r="BW184" s="68">
        <f>IF($Z$3="yes", 0.596082747703711/$X184, 0.596082747703711)</f>
        <v>0.15686388097466078</v>
      </c>
      <c r="BX184" s="68">
        <f>$BW$181 - $BV$181</f>
        <v>-2.8368799504494835E-2</v>
      </c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81"/>
      <c r="CR184" s="81"/>
      <c r="CS184" s="68"/>
      <c r="CT184" s="68"/>
      <c r="CU184" s="68"/>
    </row>
    <row r="185" spans="1:99" ht="15.75" customHeight="1" thickBot="1" x14ac:dyDescent="0.3">
      <c r="A185" s="84" t="s">
        <v>194</v>
      </c>
      <c r="B185" s="67" t="s">
        <v>128</v>
      </c>
      <c r="C185" s="83" t="s">
        <v>538</v>
      </c>
      <c r="D185" s="67" t="s">
        <v>539</v>
      </c>
      <c r="E185" s="67">
        <v>1</v>
      </c>
      <c r="F185" s="85">
        <v>4.0999999999999996</v>
      </c>
      <c r="G185" s="313">
        <v>44251</v>
      </c>
      <c r="H185" s="317">
        <v>9.15</v>
      </c>
      <c r="I185" s="85">
        <v>4.88</v>
      </c>
      <c r="J185" s="313">
        <v>44340</v>
      </c>
      <c r="K185" s="197">
        <f t="shared" si="6"/>
        <v>1.2317073170731709</v>
      </c>
      <c r="L185" s="187">
        <f t="shared" si="7"/>
        <v>0.19024390243902456</v>
      </c>
      <c r="M185" s="312">
        <v>44407</v>
      </c>
      <c r="N185" s="68"/>
      <c r="O185" s="291">
        <v>10021568</v>
      </c>
      <c r="P185" s="291"/>
      <c r="Q185" s="291">
        <v>89</v>
      </c>
      <c r="R185" s="68" t="s">
        <v>131</v>
      </c>
      <c r="S185" s="68" t="s">
        <v>148</v>
      </c>
      <c r="T185" s="68" t="s">
        <v>242</v>
      </c>
      <c r="U185" s="68">
        <v>172</v>
      </c>
      <c r="V185" s="68">
        <v>789023</v>
      </c>
      <c r="W185" s="68"/>
      <c r="X185" s="68">
        <v>4</v>
      </c>
      <c r="Y185" s="68">
        <v>1.4561975000000009</v>
      </c>
      <c r="Z185" s="68">
        <v>2.0837279999999989</v>
      </c>
      <c r="AA185" s="68">
        <v>3.1728040000000011</v>
      </c>
      <c r="AB185" s="68">
        <v>2.5606559999999998</v>
      </c>
      <c r="AC185" s="68">
        <v>4.4770000000000003</v>
      </c>
      <c r="AD185" s="68">
        <v>4.457857142857141</v>
      </c>
      <c r="AE185" s="68">
        <v>4.30375</v>
      </c>
      <c r="AF185" s="68">
        <f>IF($Z$3="yes", 0.01489714280357/$X185, 0.01489714280357)</f>
        <v>3.7242857008925002E-3</v>
      </c>
      <c r="AG185" s="68">
        <f>IF($Z$3="yes", 0.044824398439844/$X185, 0.044824398439844)</f>
        <v>1.1206099609961001E-2</v>
      </c>
      <c r="AH185" s="68">
        <f>IF($Z$3="yes", 0.0872322208883548/$X185, 0.0872322208883548)</f>
        <v>2.1808055222088701E-2</v>
      </c>
      <c r="AI185" s="68">
        <f>IF($Z$3="yes", 0.0876856086434572/$X185, 0.0876856086434572)</f>
        <v>2.1921402160864301E-2</v>
      </c>
      <c r="AJ185" s="68">
        <f>IF($Z$3="yes", -0.023248120300753/$X185, -0.023248120300753)</f>
        <v>-5.8120300751882499E-3</v>
      </c>
      <c r="AK185" s="68">
        <f>IF($Z$3="yes", -0.0460879120879169/$X185, -0.0460879120879169)</f>
        <v>-1.1521978021979224E-2</v>
      </c>
      <c r="AL185" s="68">
        <f>IF($Z$3="yes", -0.0917857142857147/$X185, -0.0917857142857147)</f>
        <v>-2.2946428571428677E-2</v>
      </c>
      <c r="AM185" s="68">
        <f>IF($Z$3="yes", 0.627530499999998/$X185, 0.627530499999998)</f>
        <v>0.1568826249999995</v>
      </c>
      <c r="AN185" s="68">
        <f>IF($Z$3="yes", 1.71660649999999/$X185, 1.71660649999999)</f>
        <v>0.42915162499999748</v>
      </c>
      <c r="AO185" s="68">
        <f>IF($Z$3="yes", 1.10445849999999/$X185, 1.10445849999999)</f>
        <v>0.2761146249999975</v>
      </c>
      <c r="AP185" s="68">
        <f>IF($Z$3="yes", 3.02080249999999/$X185, 3.02080249999999)</f>
        <v>0.75520062499999752</v>
      </c>
      <c r="AQ185" s="68">
        <f>IF($Z$3="yes", 3.00165964285713/$X185, 3.00165964285713)</f>
        <v>0.75041491071428246</v>
      </c>
      <c r="AR185" s="68">
        <f>IF($Z$3="yes", 2.84755249999999/$X185, 2.84755249999999)</f>
        <v>0.71188812499999754</v>
      </c>
      <c r="AS185" s="68">
        <f>IF($Z$3="yes", 1.089076/$X185, 1.089076)</f>
        <v>0.27226899999999998</v>
      </c>
      <c r="AT185" s="68">
        <f>IF($Z$3="yes", 0.476928/$X185, 0.476928)</f>
        <v>0.119232</v>
      </c>
      <c r="AU185" s="88">
        <f>IF($Z$3="yes", 2.393272/$X185, 2.393272)</f>
        <v>0.59831800000000002</v>
      </c>
      <c r="AV185" s="88">
        <f>IF($Z$3="yes", 2.37412914285714/$X185, 2.37412914285714)</f>
        <v>0.59353228571428496</v>
      </c>
      <c r="AW185" s="88">
        <f>IF($Z$3="yes", 2.220022/$X185, 2.220022)</f>
        <v>0.55500550000000004</v>
      </c>
      <c r="AX185" s="88">
        <f>IF($Z$3="yes", 0.612148/$X185, 0.612148)</f>
        <v>0.15303700000000001</v>
      </c>
      <c r="AY185" s="88">
        <f>IF($Z$3="yes", 1.916344/$X185, 1.916344)</f>
        <v>0.47908600000000001</v>
      </c>
      <c r="AZ185" s="88">
        <f>IF($Z$3="yes", 1.89720114285714/$X185, 1.89720114285714)</f>
        <v>0.47430028571428501</v>
      </c>
      <c r="BA185" s="88">
        <f>IF($Z$3="yes", 1.74309399999999/$X185, 1.74309399999999)</f>
        <v>0.43577349999999748</v>
      </c>
      <c r="BB185" s="88">
        <f>IF($Z$3="yes", 1.30419599999999/$X185, 1.30419599999999)</f>
        <v>0.32604899999999748</v>
      </c>
      <c r="BC185" s="88">
        <f>IF($Z$3="yes", 1.28505314285714/$X185, 1.28505314285714)</f>
        <v>0.32126328571428497</v>
      </c>
      <c r="BD185" s="88">
        <f>IF($Z$3="yes", 1.13094599999999/$X185, 1.13094599999999)</f>
        <v>0.2827364999999975</v>
      </c>
      <c r="BE185" s="88">
        <f>IF($Z$3="yes", 0.0191428571428593/$X185, 0.0191428571428593)</f>
        <v>4.785714285714825E-3</v>
      </c>
      <c r="BF185" s="88">
        <f>IF($Z$3="yes", 0.17325/$X185, 0.17325)</f>
        <v>4.3312499999999997E-2</v>
      </c>
      <c r="BG185" s="88">
        <f>IF($Z$3="yes", 0.154107142857141/$X185, 0.154107142857141)</f>
        <v>3.852678571428525E-2</v>
      </c>
      <c r="BH185" s="88">
        <f>IF($Z$3="yes", 1.78690427210884/$X185, 1.78690427210884)</f>
        <v>0.44672606802720999</v>
      </c>
      <c r="BI185" s="68"/>
      <c r="BJ185" s="68"/>
      <c r="BK185" s="68">
        <f>IF($BL$3="yes", MAX(0, (789023 - 950741) / 216551.922981071), 950741)</f>
        <v>950741</v>
      </c>
      <c r="BL185" s="68">
        <f>IF($BL$3="yes", MAX(0, (789023 - 1360233.8) / 1287602.61858686), 1360233.8)</f>
        <v>1360233.8</v>
      </c>
      <c r="BM185" s="68">
        <f>IF($BL$3="yes", MAX(0, (789023 - 1426509.65) / 1061543.74123774), 1426509.65)</f>
        <v>1426509.65</v>
      </c>
      <c r="BN185" s="68">
        <f>IF($BL$3="yes", MAX(0, (789023 - 11834080.98) / 62823849.0012371), 11834080.98)</f>
        <v>11834080.98</v>
      </c>
      <c r="BO185" s="68">
        <f>IF($BL$3="yes", MAX(0, (789023 - 8459175.01) / 49368671.4763391), 8459175.01)</f>
        <v>8459175.0099999998</v>
      </c>
      <c r="BP185" s="68">
        <f>IF($BL$3="yes", MAX(0, (789023 - 4473610.775) / 35148290.4159077), 4473610.775)</f>
        <v>4473610.7750000004</v>
      </c>
      <c r="BQ185" s="68">
        <v>51.541875363458011</v>
      </c>
      <c r="BR185" s="68"/>
      <c r="BS185" s="68"/>
      <c r="BT185" s="68">
        <v>101086948.9650934</v>
      </c>
      <c r="BU185" s="68">
        <v>-431740.45804552728</v>
      </c>
      <c r="BV185" s="68">
        <f>IF($Z$3="yes", 0.669721524032029/$X185, 0.669721524032029)</f>
        <v>0.16743038100800725</v>
      </c>
      <c r="BW185" s="68">
        <f>IF($Z$3="yes", 0.542227309231088/$X185, 0.542227309231088)</f>
        <v>0.13555682730777199</v>
      </c>
      <c r="BX185" s="68">
        <f>$BW$177 - $BV$177</f>
        <v>-4.5112188735414782E-2</v>
      </c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81"/>
      <c r="CR185" s="81"/>
      <c r="CS185" s="68"/>
      <c r="CT185" s="68"/>
      <c r="CU185" s="68"/>
    </row>
    <row r="186" spans="1:99" ht="15.75" customHeight="1" thickBot="1" x14ac:dyDescent="0.3">
      <c r="A186" s="84" t="s">
        <v>194</v>
      </c>
      <c r="B186" s="67" t="s">
        <v>128</v>
      </c>
      <c r="C186" s="67" t="s">
        <v>525</v>
      </c>
      <c r="D186" s="67" t="s">
        <v>436</v>
      </c>
      <c r="E186" s="67">
        <v>1</v>
      </c>
      <c r="F186" s="85">
        <v>1.89</v>
      </c>
      <c r="G186" s="313">
        <v>44250</v>
      </c>
      <c r="H186" s="317">
        <v>1.52</v>
      </c>
      <c r="I186" s="85">
        <v>3.14</v>
      </c>
      <c r="J186" s="313">
        <v>44274</v>
      </c>
      <c r="K186" s="207">
        <f t="shared" si="6"/>
        <v>-0.1957671957671957</v>
      </c>
      <c r="L186" s="148">
        <f t="shared" si="7"/>
        <v>0.66137566137566162</v>
      </c>
      <c r="M186" s="312">
        <v>44407</v>
      </c>
      <c r="N186" s="68"/>
      <c r="O186" s="291">
        <v>12184997</v>
      </c>
      <c r="P186" s="291">
        <v>11550000</v>
      </c>
      <c r="Q186" s="291">
        <v>24</v>
      </c>
      <c r="R186" s="68" t="s">
        <v>131</v>
      </c>
      <c r="S186" s="68" t="s">
        <v>148</v>
      </c>
      <c r="T186" s="68" t="s">
        <v>437</v>
      </c>
      <c r="U186" s="68">
        <v>244</v>
      </c>
      <c r="V186" s="68">
        <v>4020541</v>
      </c>
      <c r="W186" s="68"/>
      <c r="X186" s="68">
        <v>2.02</v>
      </c>
      <c r="Y186" s="68">
        <v>1.795732000000013</v>
      </c>
      <c r="Z186" s="68">
        <v>1.745547999999999</v>
      </c>
      <c r="AA186" s="68">
        <v>1.8863000000000001</v>
      </c>
      <c r="AB186" s="68">
        <v>1.7798360000000011</v>
      </c>
      <c r="AC186" s="68">
        <v>2.0684999999999998</v>
      </c>
      <c r="AD186" s="68">
        <v>2.1071428571428572</v>
      </c>
      <c r="AE186" s="68">
        <v>2.114999999999998</v>
      </c>
      <c r="AF186" s="68">
        <f>IF($Z$3="yes", -0.000773736593416217/$X186, -0.000773736593416217)</f>
        <v>-3.8303791753278068E-4</v>
      </c>
      <c r="AG186" s="68">
        <f>IF($Z$3="yes", 0.00504089408940912/$X186, 0.00504089408940912)</f>
        <v>2.4954921234698613E-3</v>
      </c>
      <c r="AH186" s="68">
        <f>IF($Z$3="yes", 0.0151042016806718/$X186, 0.0151042016806718)</f>
        <v>7.4773275646890097E-3</v>
      </c>
      <c r="AI186" s="68">
        <f>IF($Z$3="yes", 0.0137556686674665/$X186, 0.0137556686674665)</f>
        <v>6.8097369640923262E-3</v>
      </c>
      <c r="AJ186" s="68">
        <f>IF($Z$3="yes", 0.00653383458646723/$X186, 0.00653383458646723)</f>
        <v>3.2345715774590249E-3</v>
      </c>
      <c r="AK186" s="68">
        <f>IF($Z$3="yes", -0.0014065934065897/$X186, -0.0014065934065897)</f>
        <v>-6.9633336959886143E-4</v>
      </c>
      <c r="AL186" s="68">
        <f>IF($Z$3="yes", -0.0352380952380787/$X186, -0.0352380952380787)</f>
        <v>-1.7444601603009258E-2</v>
      </c>
      <c r="AM186" s="68">
        <f>IF($Z$3="yes", 0.0501840000000144/$X186, 0.0501840000000144)</f>
        <v>2.484356435644277E-2</v>
      </c>
      <c r="AN186" s="68">
        <f>IF($Z$3="yes", 0.0905679999999868/$X186, 0.0905679999999868)</f>
        <v>4.4835643564349902E-2</v>
      </c>
      <c r="AO186" s="68">
        <f>IF($Z$3="yes", 0.0158960000000127/$X186, 0.0158960000000127)</f>
        <v>7.8693069306993556E-3</v>
      </c>
      <c r="AP186" s="68">
        <f>IF($Z$3="yes", 0.272767999999986/$X186, 0.272767999999986)</f>
        <v>0.13503366336632971</v>
      </c>
      <c r="AQ186" s="68">
        <f>IF($Z$3="yes", 0.311410857142843/$X186, 0.311410857142843)</f>
        <v>0.15416379066477376</v>
      </c>
      <c r="AR186" s="68">
        <f>IF($Z$3="yes", 0.319267999999984/$X186, 0.319267999999984)</f>
        <v>0.15805346534652673</v>
      </c>
      <c r="AS186" s="68">
        <f>IF($Z$3="yes", 0.140752000000001/$X186, 0.140752000000001)</f>
        <v>6.9679207920792574E-2</v>
      </c>
      <c r="AT186" s="68">
        <f>IF($Z$3="yes", 0.0342880000000016/$X186, 0.0342880000000016)</f>
        <v>1.6974257425743367E-2</v>
      </c>
      <c r="AU186" s="88">
        <f>IF($Z$3="yes", 0.322952/$X186, 0.322952)</f>
        <v>0.1598772277227723</v>
      </c>
      <c r="AV186" s="88">
        <f>IF($Z$3="yes", 0.361594857142858/$X186, 0.361594857142858)</f>
        <v>0.17900735502121684</v>
      </c>
      <c r="AW186" s="88">
        <f>IF($Z$3="yes", 0.369451999999999/$X186, 0.369451999999999)</f>
        <v>0.18289702970296981</v>
      </c>
      <c r="AX186" s="88">
        <f>IF($Z$3="yes", 0.106463999999999/$X186, 0.106463999999999)</f>
        <v>5.2704950495049009E-2</v>
      </c>
      <c r="AY186" s="88">
        <f>IF($Z$3="yes", 0.288663999999999/$X186, 0.288663999999999)</f>
        <v>0.1429029702970292</v>
      </c>
      <c r="AZ186" s="88">
        <f>IF($Z$3="yes", 0.327306857142856/$X186, 0.327306857142856)</f>
        <v>0.16203309759547327</v>
      </c>
      <c r="BA186" s="88">
        <f>IF($Z$3="yes", 0.335163999999997/$X186, 0.335163999999997)</f>
        <v>0.16592277227722624</v>
      </c>
      <c r="BB186" s="88">
        <f>IF($Z$3="yes", 0.182199999999999/$X186, 0.182199999999999)</f>
        <v>9.0198019801979709E-2</v>
      </c>
      <c r="BC186" s="88">
        <f>IF($Z$3="yes", 0.220842857142856/$X186, 0.220842857142856)</f>
        <v>0.10932814710042377</v>
      </c>
      <c r="BD186" s="88">
        <f>IF($Z$3="yes", 0.228699999999997/$X186, 0.228699999999997)</f>
        <v>0.11321782178217672</v>
      </c>
      <c r="BE186" s="88">
        <f>IF($Z$3="yes", 0.0386428571428574/$X186, 0.0386428571428574)</f>
        <v>1.9130127298444259E-2</v>
      </c>
      <c r="BF186" s="88">
        <f>IF($Z$3="yes", 0.0464999999999982/$X186, 0.0464999999999982)</f>
        <v>2.3019801980197131E-2</v>
      </c>
      <c r="BG186" s="88">
        <f>IF($Z$3="yes", 0.00785714285714078/$X186, 0.00785714285714078)</f>
        <v>3.8896746817528613E-3</v>
      </c>
      <c r="BH186" s="88">
        <f>IF($Z$3="yes", 0.388231727891154/$X186, 0.388231727891154)</f>
        <v>0.19219392469859109</v>
      </c>
      <c r="BI186" s="68"/>
      <c r="BJ186" s="68"/>
      <c r="BK186" s="68">
        <f>IF($BL$3="yes", MAX(0, (4020541 - 2092929.6) / 1027662.32349027), 2092929.6)</f>
        <v>2092929.6</v>
      </c>
      <c r="BL186" s="68">
        <f>IF($BL$3="yes", MAX(0, (4020541 - 1900299) / 810936.074613652), 1900299)</f>
        <v>1900299</v>
      </c>
      <c r="BM186" s="68">
        <f>IF($BL$3="yes", MAX(0, (4020541 - 1348799.1) / 840171.964816007), 1348799.1)</f>
        <v>1348799.1</v>
      </c>
      <c r="BN186" s="68">
        <f>IF($BL$3="yes", MAX(0, (4020541 - 885793.94) / 1139958.83190026), 885793.94)</f>
        <v>885793.94</v>
      </c>
      <c r="BO186" s="68">
        <f>IF($BL$3="yes", MAX(0, (4020541 - 667841.76) / 1448293.22174133), 667841.76)</f>
        <v>667841.76</v>
      </c>
      <c r="BP186" s="68">
        <f>IF($BL$3="yes", MAX(0, (4020541 - 531184.445) / 1141404.75187204), 531184.445)</f>
        <v>531184.44499999995</v>
      </c>
      <c r="BQ186" s="68">
        <v>49.248825831554477</v>
      </c>
      <c r="BR186" s="68"/>
      <c r="BS186" s="68"/>
      <c r="BT186" s="68">
        <v>-24671700.83375778</v>
      </c>
      <c r="BU186" s="68">
        <v>-280515.87243966007</v>
      </c>
      <c r="BV186" s="68">
        <f>IF($Z$3="yes", 0.236343223272415/$X186, 0.236343223272415)</f>
        <v>0.11700159567941336</v>
      </c>
      <c r="BW186" s="68">
        <f>IF($Z$3="yes", 0.176019288571482/$X186, 0.176019288571482)</f>
        <v>8.713826166905049E-2</v>
      </c>
      <c r="BX186" s="68">
        <f>$BW$176 - $BV$176</f>
        <v>-7.4101804081954825E-2</v>
      </c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81"/>
      <c r="CR186" s="81"/>
      <c r="CS186" s="68"/>
      <c r="CT186" s="68"/>
      <c r="CU186" s="68"/>
    </row>
    <row r="187" spans="1:99" ht="15.75" customHeight="1" thickBot="1" x14ac:dyDescent="0.3">
      <c r="A187" s="84" t="s">
        <v>194</v>
      </c>
      <c r="B187" s="67" t="s">
        <v>128</v>
      </c>
      <c r="C187" s="83" t="s">
        <v>540</v>
      </c>
      <c r="D187" s="67" t="s">
        <v>541</v>
      </c>
      <c r="E187" s="67">
        <v>2</v>
      </c>
      <c r="F187" s="85">
        <v>2.25</v>
      </c>
      <c r="G187" s="313">
        <v>44249</v>
      </c>
      <c r="H187" s="317">
        <v>1.68</v>
      </c>
      <c r="I187" s="85">
        <v>4.09</v>
      </c>
      <c r="J187" s="313">
        <v>44272</v>
      </c>
      <c r="K187" s="125">
        <f t="shared" si="6"/>
        <v>-0.25333333333333341</v>
      </c>
      <c r="L187" s="174">
        <f t="shared" si="7"/>
        <v>0.81777777777777771</v>
      </c>
      <c r="M187" s="312">
        <v>44407</v>
      </c>
      <c r="N187" s="68"/>
      <c r="O187" s="291">
        <v>18085355</v>
      </c>
      <c r="P187" s="291">
        <v>12210000</v>
      </c>
      <c r="Q187" s="291">
        <v>23</v>
      </c>
      <c r="R187" s="68" t="s">
        <v>152</v>
      </c>
      <c r="S187" s="68" t="s">
        <v>132</v>
      </c>
      <c r="T187" s="68" t="s">
        <v>542</v>
      </c>
      <c r="U187" s="68">
        <v>32</v>
      </c>
      <c r="V187" s="68">
        <v>173031</v>
      </c>
      <c r="W187" s="68"/>
      <c r="X187" s="68">
        <v>2.25</v>
      </c>
      <c r="Y187" s="68">
        <v>2.0061300000000002</v>
      </c>
      <c r="Z187" s="68">
        <v>1.8608569999999991</v>
      </c>
      <c r="AA187" s="68">
        <v>1.906102</v>
      </c>
      <c r="AB187" s="68">
        <v>1.827402</v>
      </c>
      <c r="AC187" s="68">
        <v>2.063749999999998</v>
      </c>
      <c r="AD187" s="68">
        <v>2.1485714285714281</v>
      </c>
      <c r="AE187" s="68">
        <v>2.2524999999999968</v>
      </c>
      <c r="AF187" s="68">
        <f>IF($Z$3="yes", -0.00212704177604436/$X187, -0.00212704177604436)</f>
        <v>-9.4535190046415992E-4</v>
      </c>
      <c r="AG187" s="68">
        <f>IF($Z$3="yes", 0.00299610741074105/$X187, 0.00299610741074105)</f>
        <v>1.331603293662689E-3</v>
      </c>
      <c r="AH187" s="68">
        <f>IF($Z$3="yes", 0.0105615510204077/$X187, 0.0105615510204077)</f>
        <v>4.6940226757367556E-3</v>
      </c>
      <c r="AI187" s="68">
        <f>IF($Z$3="yes", 0.00252731332532979/$X187, 0.00252731332532979)</f>
        <v>1.1232503668132398E-3</v>
      </c>
      <c r="AJ187" s="68">
        <f>IF($Z$3="yes", 0.0288684210526339/$X187, 0.0288684210526339)</f>
        <v>1.2830409356726177E-2</v>
      </c>
      <c r="AK187" s="68">
        <f>IF($Z$3="yes", 0.0337142857142898/$X187, 0.0337142857142898)</f>
        <v>1.49841269841288E-2</v>
      </c>
      <c r="AL187" s="68">
        <f>IF($Z$3="yes", 0.0178571428571459/$X187, 0.0178571428571459)</f>
        <v>7.9365079365092892E-3</v>
      </c>
      <c r="AM187" s="68">
        <f>IF($Z$3="yes", 0.145273/$X187, 0.145273)</f>
        <v>6.4565777777777777E-2</v>
      </c>
      <c r="AN187" s="68">
        <f>IF($Z$3="yes", 0.100027999999999/$X187, 0.100027999999999)</f>
        <v>4.4456888888888449E-2</v>
      </c>
      <c r="AO187" s="68">
        <f>IF($Z$3="yes", 0.178727999999999/$X187, 0.178727999999999)</f>
        <v>7.9434666666666223E-2</v>
      </c>
      <c r="AP187" s="68">
        <f>IF($Z$3="yes", 0.0576199999999986/$X187, 0.0576199999999986)</f>
        <v>2.5608888888888268E-2</v>
      </c>
      <c r="AQ187" s="68">
        <f>IF($Z$3="yes", 0.142441428571428/$X187, 0.142441428571428)</f>
        <v>6.3307301587301329E-2</v>
      </c>
      <c r="AR187" s="68">
        <f>IF($Z$3="yes", 0.246369999999997/$X187, 0.246369999999997)</f>
        <v>0.10949777777777644</v>
      </c>
      <c r="AS187" s="68">
        <f>IF($Z$3="yes", 0.0452450000000008/$X187, 0.0452450000000008)</f>
        <v>2.0108888888889245E-2</v>
      </c>
      <c r="AT187" s="68">
        <f>IF($Z$3="yes", 0.0334549999999991/$X187, 0.0334549999999991)</f>
        <v>1.4868888888888487E-2</v>
      </c>
      <c r="AU187" s="88">
        <f>IF($Z$3="yes", 0.202892999999999/$X187, 0.202892999999999)</f>
        <v>9.0174666666666223E-2</v>
      </c>
      <c r="AV187" s="88">
        <f>IF($Z$3="yes", 0.287714428571428/$X187, 0.287714428571428)</f>
        <v>0.12787307936507911</v>
      </c>
      <c r="AW187" s="88">
        <f>IF($Z$3="yes", 0.391642999999997/$X187, 0.391642999999997)</f>
        <v>0.17406355555555422</v>
      </c>
      <c r="AX187" s="88">
        <f>IF($Z$3="yes", 0.0786999999999999/$X187, 0.0786999999999999)</f>
        <v>3.4977777777777733E-2</v>
      </c>
      <c r="AY187" s="88">
        <f>IF($Z$3="yes", 0.236347999999998/$X187, 0.236347999999998)</f>
        <v>0.10504355555555467</v>
      </c>
      <c r="AZ187" s="88">
        <f>IF($Z$3="yes", 0.321169428571427/$X187, 0.321169428571427)</f>
        <v>0.14274196825396757</v>
      </c>
      <c r="BA187" s="88">
        <f>IF($Z$3="yes", 0.425097999999996/$X187, 0.425097999999996)</f>
        <v>0.18893244444444265</v>
      </c>
      <c r="BB187" s="88">
        <f>IF($Z$3="yes", 0.157647999999998/$X187, 0.157647999999998)</f>
        <v>7.0065777777776894E-2</v>
      </c>
      <c r="BC187" s="88">
        <f>IF($Z$3="yes", 0.242469428571427/$X187, 0.242469428571427)</f>
        <v>0.10776419047618978</v>
      </c>
      <c r="BD187" s="88">
        <f>IF($Z$3="yes", 0.346397999999996/$X187, 0.346397999999996)</f>
        <v>0.15395466666666488</v>
      </c>
      <c r="BE187" s="88">
        <f>IF($Z$3="yes", 0.0848214285714297/$X187, 0.0848214285714297)</f>
        <v>3.7698412698413203E-2</v>
      </c>
      <c r="BF187" s="88">
        <f>IF($Z$3="yes", 0.188749999999998/$X187, 0.188749999999998)</f>
        <v>8.3888888888888E-2</v>
      </c>
      <c r="BG187" s="88">
        <f>IF($Z$3="yes", 0.103928571428568/$X187, 0.103928571428568)</f>
        <v>4.6190476190474665E-2</v>
      </c>
      <c r="BH187" s="88">
        <f>IF($Z$3="yes", 0.389167244897957/$X187, 0.389167244897957)</f>
        <v>0.17296321995464756</v>
      </c>
      <c r="BI187" s="68"/>
      <c r="BJ187" s="68"/>
      <c r="BK187" s="68">
        <f>IF($BL$3="yes", MAX(0, (173031 - 451622.8) / 341538.964393464), 451622.8)</f>
        <v>451622.8</v>
      </c>
      <c r="BL187" s="68">
        <f>IF($BL$3="yes", MAX(0, (173031 - 439936.7) / 275045.792790237), 439936.7)</f>
        <v>439936.7</v>
      </c>
      <c r="BM187" s="68">
        <f>IF($BL$3="yes", MAX(0, (173031 - 489199.3) / 543933.702814424), 489199.3)</f>
        <v>489199.3</v>
      </c>
      <c r="BN187" s="68">
        <f>IF($BL$3="yes", MAX(0, (173031 - 345912.44) / 514710.849728006), 345912.44)</f>
        <v>345912.44</v>
      </c>
      <c r="BO187" s="68">
        <f>IF($BL$3="yes", MAX(0, (173031 - 335265.58) / 1376123.3075855), 335265.58)</f>
        <v>335265.58</v>
      </c>
      <c r="BP187" s="68">
        <f>IF($BL$3="yes", MAX(0, (173031 - 281332.11) / 1562977.5395245), 281332.11)</f>
        <v>281332.11</v>
      </c>
      <c r="BQ187" s="68">
        <v>60.666047726550623</v>
      </c>
      <c r="BR187" s="68"/>
      <c r="BS187" s="68"/>
      <c r="BT187" s="68">
        <v>-25564308.42952498</v>
      </c>
      <c r="BU187" s="68">
        <v>9249.7995176836848</v>
      </c>
      <c r="BV187" s="68">
        <f>IF($Z$3="yes", 0.168637946205334/$X187, 0.168637946205334)</f>
        <v>7.4950198313481778E-2</v>
      </c>
      <c r="BW187" s="68">
        <f>IF($Z$3="yes", 0.130694480609908/$X187, 0.130694480609908)</f>
        <v>5.8086435826625774E-2</v>
      </c>
      <c r="BX187" s="68">
        <f>$BW$175 - $BV$175</f>
        <v>1.6654504073166793E-3</v>
      </c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81"/>
      <c r="CR187" s="81"/>
      <c r="CS187" s="68"/>
      <c r="CT187" s="68"/>
      <c r="CU187" s="68"/>
    </row>
    <row r="188" spans="1:99" ht="15.75" customHeight="1" thickBot="1" x14ac:dyDescent="0.3">
      <c r="A188" s="84" t="s">
        <v>194</v>
      </c>
      <c r="B188" s="67" t="s">
        <v>128</v>
      </c>
      <c r="C188" s="83" t="s">
        <v>540</v>
      </c>
      <c r="D188" s="67" t="s">
        <v>543</v>
      </c>
      <c r="E188" s="67">
        <v>1</v>
      </c>
      <c r="F188" s="85">
        <v>2.19</v>
      </c>
      <c r="G188" s="313">
        <v>44249</v>
      </c>
      <c r="H188" s="317">
        <v>1.2</v>
      </c>
      <c r="I188" s="85">
        <v>2.19</v>
      </c>
      <c r="J188" s="67"/>
      <c r="K188" s="125">
        <f t="shared" si="6"/>
        <v>-0.45205479452054798</v>
      </c>
      <c r="L188" s="100">
        <f t="shared" si="7"/>
        <v>0</v>
      </c>
      <c r="M188" s="312">
        <v>44407</v>
      </c>
      <c r="N188" s="68"/>
      <c r="O188" s="291">
        <v>24631488</v>
      </c>
      <c r="P188" s="291">
        <v>20130000</v>
      </c>
      <c r="Q188" s="291"/>
      <c r="R188" s="68" t="s">
        <v>152</v>
      </c>
      <c r="S188" s="68" t="s">
        <v>148</v>
      </c>
      <c r="T188" s="68" t="s">
        <v>266</v>
      </c>
      <c r="U188" s="68">
        <v>72</v>
      </c>
      <c r="V188" s="68">
        <v>892589</v>
      </c>
      <c r="W188" s="68"/>
      <c r="X188" s="68">
        <v>2.23</v>
      </c>
      <c r="Y188" s="68">
        <v>2.0733169999999972</v>
      </c>
      <c r="Z188" s="68">
        <v>1.9149830000000001</v>
      </c>
      <c r="AA188" s="68">
        <v>1.9481120000000001</v>
      </c>
      <c r="AB188" s="68">
        <v>1.8663179999999999</v>
      </c>
      <c r="AC188" s="68">
        <v>2.1414849999999999</v>
      </c>
      <c r="AD188" s="68">
        <v>2.2206928571428568</v>
      </c>
      <c r="AE188" s="68">
        <v>2.3424625000000039</v>
      </c>
      <c r="AF188" s="68">
        <f>IF($Z$3="yes", -0.00385060391509765/$X188, -0.00385060391509765)</f>
        <v>-1.7267282130482735E-3</v>
      </c>
      <c r="AG188" s="68">
        <f>IF($Z$3="yes", 0.00228002220222014/$X188, 0.00228002220222014)</f>
        <v>1.0224314808162064E-3</v>
      </c>
      <c r="AH188" s="68">
        <f>IF($Z$3="yes", 0.0112477503001194/$X188, 0.0112477503001194)</f>
        <v>5.0438342153001801E-3</v>
      </c>
      <c r="AI188" s="68">
        <f>IF($Z$3="yes", 0.0017458103241291/$X188, 0.0017458103241291)</f>
        <v>7.8287458481125565E-4</v>
      </c>
      <c r="AJ188" s="68">
        <f>IF($Z$3="yes", 0.0261540601503733/$X188, 0.0261540601503733)</f>
        <v>1.1728278094337803E-2</v>
      </c>
      <c r="AK188" s="68">
        <f>IF($Z$3="yes", 0.0285861538461536/$X188, 0.0285861538461536)</f>
        <v>1.2818903070024036E-2</v>
      </c>
      <c r="AL188" s="68">
        <f>IF($Z$3="yes", -0.028827380952379/$X188, -0.028827380952379)</f>
        <v>-1.2927076660259643E-2</v>
      </c>
      <c r="AM188" s="68">
        <f>IF($Z$3="yes", 0.158333999999996/$X188, 0.158333999999996)</f>
        <v>7.100179372197131E-2</v>
      </c>
      <c r="AN188" s="68">
        <f>IF($Z$3="yes", 0.125204999999996/$X188, 0.125204999999996)</f>
        <v>5.6145739910312104E-2</v>
      </c>
      <c r="AO188" s="68">
        <f>IF($Z$3="yes", 0.206998999999997/$X188, 0.206998999999997)</f>
        <v>9.2824663677128702E-2</v>
      </c>
      <c r="AP188" s="68">
        <f>IF($Z$3="yes", 0.0681680000000031/$X188, 0.0681680000000031)</f>
        <v>3.0568609865472243E-2</v>
      </c>
      <c r="AQ188" s="68">
        <f>IF($Z$3="yes", 0.147375857142859/$X188, 0.147375857142859)</f>
        <v>6.6087828315183408E-2</v>
      </c>
      <c r="AR188" s="68">
        <f>IF($Z$3="yes", 0.269145500000006/$X188, 0.269145500000006)</f>
        <v>0.12069304932735694</v>
      </c>
      <c r="AS188" s="68">
        <f>IF($Z$3="yes", 0.0331289999999999/$X188, 0.0331289999999999)</f>
        <v>1.4856053811659149E-2</v>
      </c>
      <c r="AT188" s="68">
        <f>IF($Z$3="yes", 0.0486650000000004/$X188, 0.0486650000000004)</f>
        <v>2.1822869955157132E-2</v>
      </c>
      <c r="AU188" s="88">
        <f>IF($Z$3="yes", 0.226501999999999/$X188, 0.226501999999999)</f>
        <v>0.1015704035874435</v>
      </c>
      <c r="AV188" s="88">
        <f>IF($Z$3="yes", 0.305709857142856/$X188, 0.305709857142856)</f>
        <v>0.13708962203715516</v>
      </c>
      <c r="AW188" s="88">
        <f>IF($Z$3="yes", 0.427479500000003/$X188, 0.427479500000003)</f>
        <v>0.19169484304932871</v>
      </c>
      <c r="AX188" s="88">
        <f>IF($Z$3="yes", 0.0817940000000003/$X188, 0.0817940000000003)</f>
        <v>3.6678923766816279E-2</v>
      </c>
      <c r="AY188" s="88">
        <f>IF($Z$3="yes", 0.275167/$X188, 0.275167)</f>
        <v>0.12339327354260089</v>
      </c>
      <c r="AZ188" s="88">
        <f>IF($Z$3="yes", 0.354374857142856/$X188, 0.354374857142856)</f>
        <v>0.15891249199231211</v>
      </c>
      <c r="BA188" s="88">
        <f>IF($Z$3="yes", 0.476144500000003/$X188, 0.476144500000003)</f>
        <v>0.21351771300448566</v>
      </c>
      <c r="BB188" s="88">
        <f>IF($Z$3="yes", 0.193373/$X188, 0.193373)</f>
        <v>8.6714349775784752E-2</v>
      </c>
      <c r="BC188" s="88">
        <f>IF($Z$3="yes", 0.272580857142856/$X188, 0.272580857142856)</f>
        <v>0.12223356822549597</v>
      </c>
      <c r="BD188" s="88">
        <f>IF($Z$3="yes", 0.394350500000003/$X188, 0.394350500000003)</f>
        <v>0.17683878923766949</v>
      </c>
      <c r="BE188" s="88">
        <f>IF($Z$3="yes", 0.0792078571428565/$X188, 0.0792078571428565)</f>
        <v>3.5519218449711433E-2</v>
      </c>
      <c r="BF188" s="88">
        <f>IF($Z$3="yes", 0.200977500000003/$X188, 0.200977500000003)</f>
        <v>9.0124439461884753E-2</v>
      </c>
      <c r="BG188" s="88">
        <f>IF($Z$3="yes", 0.121769642857147/$X188, 0.121769642857147)</f>
        <v>5.4605221012173542E-2</v>
      </c>
      <c r="BH188" s="88">
        <f>IF($Z$3="yes", 0.416479465986396/$X188, 0.416479465986396)</f>
        <v>0.18676209237058117</v>
      </c>
      <c r="BI188" s="68"/>
      <c r="BJ188" s="68"/>
      <c r="BK188" s="68">
        <f>IF($BL$3="yes", MAX(0, (892589 - 969720.4) / 232216.075185677), 969720.4)</f>
        <v>969720.4</v>
      </c>
      <c r="BL188" s="68">
        <f>IF($BL$3="yes", MAX(0, (892589 - 3033711.6) / 4509497.30753322), 3033711.6)</f>
        <v>3033711.6</v>
      </c>
      <c r="BM188" s="68">
        <f>IF($BL$3="yes", MAX(0, (892589 - 2474156.8) / 3427353.80026227), 2474156.8)</f>
        <v>2474156.7999999998</v>
      </c>
      <c r="BN188" s="68">
        <f>IF($BL$3="yes", MAX(0, (892589 - 1586381.54) / 2722042.97930802), 1586381.54)</f>
        <v>1586381.54</v>
      </c>
      <c r="BO188" s="68">
        <f>IF($BL$3="yes", MAX(0, (892589 - 2127534.73) / 9316686.80305794), 2127534.73)</f>
        <v>2127534.73</v>
      </c>
      <c r="BP188" s="68">
        <f>IF($BL$3="yes", MAX(0, (892589 - 1339774.79) / 6652128.04417064), 1339774.79)</f>
        <v>1339774.79</v>
      </c>
      <c r="BQ188" s="68">
        <v>56.225031984248027</v>
      </c>
      <c r="BR188" s="68"/>
      <c r="BS188" s="68"/>
      <c r="BT188" s="68">
        <v>-100207799.2538918</v>
      </c>
      <c r="BU188" s="68">
        <v>-22417.55104991794</v>
      </c>
      <c r="BV188" s="68">
        <f>IF($Z$3="yes", 0.199637332741797/$X188, 0.199637332741797)</f>
        <v>8.9523467597218395E-2</v>
      </c>
      <c r="BW188" s="68">
        <f>IF($Z$3="yes", 0.142238939769497/$X188, 0.142238939769497)</f>
        <v>6.3784277923541258E-2</v>
      </c>
      <c r="BX188" s="68">
        <f>$BW$174 - $BV$174</f>
        <v>4.0062295405243059E-2</v>
      </c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81"/>
      <c r="CR188" s="81"/>
      <c r="CS188" s="68"/>
      <c r="CT188" s="68"/>
      <c r="CU188" s="68"/>
    </row>
    <row r="189" spans="1:99" ht="15.75" customHeight="1" thickBot="1" x14ac:dyDescent="0.3">
      <c r="A189" s="84" t="s">
        <v>194</v>
      </c>
      <c r="B189" s="67" t="s">
        <v>128</v>
      </c>
      <c r="C189" s="83" t="s">
        <v>544</v>
      </c>
      <c r="D189" s="67" t="s">
        <v>545</v>
      </c>
      <c r="E189" s="67">
        <v>1</v>
      </c>
      <c r="F189" s="85">
        <v>1.81</v>
      </c>
      <c r="G189" s="313">
        <v>44245</v>
      </c>
      <c r="H189" s="317">
        <v>1.76</v>
      </c>
      <c r="I189" s="85">
        <v>2.0649999999999999</v>
      </c>
      <c r="J189" s="313">
        <v>44246</v>
      </c>
      <c r="K189" s="105">
        <f t="shared" si="6"/>
        <v>-2.7624309392265234E-2</v>
      </c>
      <c r="L189" s="137">
        <f t="shared" si="7"/>
        <v>0.1408839779005524</v>
      </c>
      <c r="M189" s="312">
        <v>44407</v>
      </c>
      <c r="N189" s="68"/>
      <c r="O189" s="291">
        <v>33000000</v>
      </c>
      <c r="P189" s="291">
        <v>22510000</v>
      </c>
      <c r="Q189" s="291">
        <v>1</v>
      </c>
      <c r="R189" s="68" t="s">
        <v>131</v>
      </c>
      <c r="S189" s="68" t="s">
        <v>220</v>
      </c>
      <c r="T189" s="68" t="s">
        <v>546</v>
      </c>
      <c r="U189" s="68">
        <v>1048</v>
      </c>
      <c r="V189" s="68">
        <v>1191826</v>
      </c>
      <c r="W189" s="68"/>
      <c r="X189" s="68">
        <v>1.83</v>
      </c>
      <c r="Y189" s="68">
        <v>0.9943999999999974</v>
      </c>
      <c r="Z189" s="68">
        <v>0.8263130000000003</v>
      </c>
      <c r="AA189" s="68">
        <v>1.0391719999999991</v>
      </c>
      <c r="AB189" s="68">
        <v>0.88961799999999924</v>
      </c>
      <c r="AC189" s="68">
        <v>1.3115049999999999</v>
      </c>
      <c r="AD189" s="68">
        <v>1.375</v>
      </c>
      <c r="AE189" s="68">
        <v>1.507499999999999</v>
      </c>
      <c r="AF189" s="68">
        <f>IF($Z$3="yes", -0.00237621960548991/$X189, -0.00237621960548991)</f>
        <v>-1.2984806587376556E-3</v>
      </c>
      <c r="AG189" s="68">
        <f>IF($Z$3="yes", 0.00851619261926189/$X189, 0.00851619261926189)</f>
        <v>4.6536571689955687E-3</v>
      </c>
      <c r="AH189" s="68">
        <f>IF($Z$3="yes", 0.0168113133253304/$X189, 0.0168113133253304)</f>
        <v>9.1865100138417474E-3</v>
      </c>
      <c r="AI189" s="68">
        <f>IF($Z$3="yes", 0.0107375702280915/$X189, 0.0107375702280915)</f>
        <v>5.8675247148040986E-3</v>
      </c>
      <c r="AJ189" s="68">
        <f>IF($Z$3="yes", 0.0315856390977466/$X189, 0.0315856390977466)</f>
        <v>1.7259912075271368E-2</v>
      </c>
      <c r="AK189" s="68">
        <f>IF($Z$3="yes", 0.0484175824175799/$X189, 0.0484175824175799)</f>
        <v>2.6457695310152952E-2</v>
      </c>
      <c r="AL189" s="68">
        <f>IF($Z$3="yes", 0.0764285714285701/$X189, 0.0764285714285701)</f>
        <v>4.1764246682278738E-2</v>
      </c>
      <c r="AM189" s="68">
        <f>IF($Z$3="yes", 0.168086999999997/$X189, 0.168086999999997)</f>
        <v>9.1850819672129505E-2</v>
      </c>
      <c r="AN189" s="68">
        <f>IF($Z$3="yes", 0.0447720000000019/$X189, 0.0447720000000019)</f>
        <v>2.4465573770492841E-2</v>
      </c>
      <c r="AO189" s="68">
        <f>IF($Z$3="yes", 0.104781999999998/$X189, 0.104781999999998)</f>
        <v>5.7257923497266668E-2</v>
      </c>
      <c r="AP189" s="68">
        <f>IF($Z$3="yes", 0.317105000000002/$X189, 0.317105000000002)</f>
        <v>0.17328142076502842</v>
      </c>
      <c r="AQ189" s="68">
        <f>IF($Z$3="yes", 0.380600000000002/$X189, 0.380600000000002)</f>
        <v>0.20797814207650381</v>
      </c>
      <c r="AR189" s="68">
        <f>IF($Z$3="yes", 0.513100000000001/$X189, 0.513100000000001)</f>
        <v>0.2803825136612027</v>
      </c>
      <c r="AS189" s="68">
        <f>IF($Z$3="yes", 0.212858999999999/$X189, 0.212858999999999)</f>
        <v>0.1163163934426224</v>
      </c>
      <c r="AT189" s="68">
        <f>IF($Z$3="yes", 0.0633049999999989/$X189, 0.0633049999999989)</f>
        <v>3.4592896174862789E-2</v>
      </c>
      <c r="AU189" s="88">
        <f>IF($Z$3="yes", 0.485191999999999/$X189, 0.485191999999999)</f>
        <v>0.26513224043715794</v>
      </c>
      <c r="AV189" s="88">
        <f>IF($Z$3="yes", 0.548686999999999/$X189, 0.548686999999999)</f>
        <v>0.29982896174863333</v>
      </c>
      <c r="AW189" s="88">
        <f>IF($Z$3="yes", 0.681186999999998/$X189, 0.681186999999998)</f>
        <v>0.37223333333333219</v>
      </c>
      <c r="AX189" s="88">
        <f>IF($Z$3="yes", 0.149554/$X189, 0.149554)</f>
        <v>8.1723497267759557E-2</v>
      </c>
      <c r="AY189" s="88">
        <f>IF($Z$3="yes", 0.421887/$X189, 0.421887)</f>
        <v>0.23053934426229508</v>
      </c>
      <c r="AZ189" s="88">
        <f>IF($Z$3="yes", 0.485382000000001/$X189, 0.485382000000001)</f>
        <v>0.265236065573771</v>
      </c>
      <c r="BA189" s="88">
        <f>IF($Z$3="yes", 0.617881999999999/$X189, 0.617881999999999)</f>
        <v>0.33764043715846942</v>
      </c>
      <c r="BB189" s="88">
        <f>IF($Z$3="yes", 0.272333/$X189, 0.272333)</f>
        <v>0.14881584699453551</v>
      </c>
      <c r="BC189" s="88">
        <f>IF($Z$3="yes", 0.335828/$X189, 0.335828)</f>
        <v>0.18351256830601093</v>
      </c>
      <c r="BD189" s="88">
        <f>IF($Z$3="yes", 0.468327999999999/$X189, 0.468327999999999)</f>
        <v>0.25591693989070985</v>
      </c>
      <c r="BE189" s="88">
        <f>IF($Z$3="yes", 0.0634950000000003/$X189, 0.0634950000000003)</f>
        <v>3.4696721311475574E-2</v>
      </c>
      <c r="BF189" s="88">
        <f>IF($Z$3="yes", 0.195994999999999/$X189, 0.195994999999999)</f>
        <v>0.10710109289617431</v>
      </c>
      <c r="BG189" s="88">
        <f>IF($Z$3="yes", 0.132499999999998/$X189, 0.132499999999998)</f>
        <v>7.2404371584698368E-2</v>
      </c>
      <c r="BH189" s="88">
        <f>IF($Z$3="yes", 0.444404809523809/$X189, 0.444404809523809)</f>
        <v>0.24284415820973168</v>
      </c>
      <c r="BI189" s="68"/>
      <c r="BJ189" s="68"/>
      <c r="BK189" s="68">
        <f>IF($BL$3="yes", MAX(0, (1191826 - 1232494.6) / 807889.171657251), 1232494.6)</f>
        <v>1232494.6000000001</v>
      </c>
      <c r="BL189" s="68">
        <f>IF($BL$3="yes", MAX(0, (1191826 - 855724.7) / 700250.781271974), 855724.7)</f>
        <v>855724.7</v>
      </c>
      <c r="BM189" s="68">
        <f>IF($BL$3="yes", MAX(0, (1191826 - 819061.65) / 1118062.91905197), 819061.65)</f>
        <v>819061.65</v>
      </c>
      <c r="BN189" s="68">
        <f>IF($BL$3="yes", MAX(0, (1191826 - 480456.56) / 769783.334872668), 480456.56)</f>
        <v>480456.56</v>
      </c>
      <c r="BO189" s="68">
        <f>IF($BL$3="yes", MAX(0, (1191826 - 339451.13) / 570062.557374954), 339451.13)</f>
        <v>339451.13</v>
      </c>
      <c r="BP189" s="68">
        <f>IF($BL$3="yes", MAX(0, (1191826 - 222434.175) / 422557.967055899), 222434.175)</f>
        <v>222434.17499999999</v>
      </c>
      <c r="BQ189" s="68">
        <v>75.404882953560531</v>
      </c>
      <c r="BR189" s="68"/>
      <c r="BS189" s="68"/>
      <c r="BT189" s="68">
        <v>6439856.9204353057</v>
      </c>
      <c r="BU189" s="68">
        <v>474307.80355588812</v>
      </c>
      <c r="BV189" s="68">
        <f>IF($Z$3="yes", 0.157053760813882/$X189, 0.157053760813882)</f>
        <v>8.5821727220700542E-2</v>
      </c>
      <c r="BW189" s="68">
        <f>IF($Z$3="yes", 0.0734443355576226/$X189, 0.0734443355576226)</f>
        <v>4.0133516698154424E-2</v>
      </c>
      <c r="BX189" s="68">
        <f>$BW$173 - $BV$173</f>
        <v>1.8685109864756827E-2</v>
      </c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81"/>
      <c r="CR189" s="81"/>
      <c r="CS189" s="68"/>
      <c r="CT189" s="68"/>
      <c r="CU189" s="68"/>
    </row>
    <row r="190" spans="1:99" ht="15.75" customHeight="1" thickBot="1" x14ac:dyDescent="0.3">
      <c r="A190" s="84"/>
      <c r="B190" s="67" t="s">
        <v>128</v>
      </c>
      <c r="C190" s="83" t="s">
        <v>547</v>
      </c>
      <c r="D190" s="67" t="s">
        <v>162</v>
      </c>
      <c r="E190" s="67">
        <v>1</v>
      </c>
      <c r="F190" s="85">
        <v>2.04</v>
      </c>
      <c r="G190" s="313">
        <v>44243</v>
      </c>
      <c r="H190" s="317">
        <v>1.19</v>
      </c>
      <c r="I190" s="85">
        <v>2.0499999999999998</v>
      </c>
      <c r="J190" s="313">
        <v>44244</v>
      </c>
      <c r="K190" s="125">
        <f t="shared" si="6"/>
        <v>-0.41666666666666674</v>
      </c>
      <c r="L190" s="100">
        <f t="shared" si="7"/>
        <v>4.9019607843137081E-3</v>
      </c>
      <c r="M190" s="312">
        <v>44407</v>
      </c>
      <c r="N190" s="68"/>
      <c r="O190" s="291">
        <v>11960505</v>
      </c>
      <c r="P190" s="291">
        <v>5540000</v>
      </c>
      <c r="Q190" s="291">
        <v>1</v>
      </c>
      <c r="R190" s="68" t="s">
        <v>131</v>
      </c>
      <c r="S190" s="68" t="s">
        <v>148</v>
      </c>
      <c r="T190" s="68" t="s">
        <v>163</v>
      </c>
      <c r="U190" s="68">
        <v>124</v>
      </c>
      <c r="V190" s="68">
        <v>1774382</v>
      </c>
      <c r="W190" s="68"/>
      <c r="X190" s="68">
        <v>2.04</v>
      </c>
      <c r="Y190" s="68">
        <v>1.0029505000000001</v>
      </c>
      <c r="Z190" s="68">
        <v>1.2847900000000001</v>
      </c>
      <c r="AA190" s="68">
        <v>1.464398000000001</v>
      </c>
      <c r="AB190" s="68">
        <v>1.316068</v>
      </c>
      <c r="AC190" s="68">
        <v>1.6934949999999991</v>
      </c>
      <c r="AD190" s="68">
        <v>1.7542785714285709</v>
      </c>
      <c r="AE190" s="68">
        <v>1.923749999999999</v>
      </c>
      <c r="AF190" s="68">
        <f>IF($Z$3="yes", 0.00564103705092629/$X190, 0.00564103705092629)</f>
        <v>2.765214240650142E-3</v>
      </c>
      <c r="AG190" s="68">
        <f>IF($Z$3="yes", 0.00739348934893488/$X190, 0.00739348934893488)</f>
        <v>3.6242594847719998E-3</v>
      </c>
      <c r="AH190" s="68">
        <f>IF($Z$3="yes", 0.0140560624249699/$X190, 0.0140560624249699)</f>
        <v>6.8902266789068137E-3</v>
      </c>
      <c r="AI190" s="68">
        <f>IF($Z$3="yes", 0.00973999519807922/$X190, 0.00973999519807922)</f>
        <v>4.7745074500388325E-3</v>
      </c>
      <c r="AJ190" s="68">
        <f>IF($Z$3="yes", 0.030037969924812/$X190, 0.030037969924812)</f>
        <v>1.4724495061182351E-2</v>
      </c>
      <c r="AK190" s="68">
        <f>IF($Z$3="yes", 0.0514749450549489/$X190, 0.0514749450549489)</f>
        <v>2.5232816203406325E-2</v>
      </c>
      <c r="AL190" s="68">
        <f>IF($Z$3="yes", 0.0422619047619099/$X190, 0.0422619047619099)</f>
        <v>2.0716619981328382E-2</v>
      </c>
      <c r="AM190" s="68">
        <f>IF($Z$3="yes", 0.2818395/$X190, 0.2818395)</f>
        <v>0.13815661764705883</v>
      </c>
      <c r="AN190" s="68">
        <f>IF($Z$3="yes", 0.4614475/$X190, 0.4614475)</f>
        <v>0.22619975490196079</v>
      </c>
      <c r="AO190" s="68">
        <f>IF($Z$3="yes", 0.3131175/$X190, 0.3131175)</f>
        <v>0.1534889705882353</v>
      </c>
      <c r="AP190" s="68">
        <f>IF($Z$3="yes", 0.690544499999999/$X190, 0.690544499999999)</f>
        <v>0.33850220588235247</v>
      </c>
      <c r="AQ190" s="68">
        <f>IF($Z$3="yes", 0.751328071428571/$X190, 0.751328071428571)</f>
        <v>0.36829807422969169</v>
      </c>
      <c r="AR190" s="68">
        <f>IF($Z$3="yes", 0.920799499999999/$X190, 0.920799499999999)</f>
        <v>0.45137230392156813</v>
      </c>
      <c r="AS190" s="68">
        <f>IF($Z$3="yes", 0.179608/$X190, 0.179608)</f>
        <v>8.8043137254901954E-2</v>
      </c>
      <c r="AT190" s="68">
        <f>IF($Z$3="yes", 0.0312780000000005/$X190, 0.0312780000000005)</f>
        <v>1.5332352941176715E-2</v>
      </c>
      <c r="AU190" s="88">
        <f>IF($Z$3="yes", 0.408704999999999/$X190, 0.408704999999999)</f>
        <v>0.20034558823529361</v>
      </c>
      <c r="AV190" s="88">
        <f>IF($Z$3="yes", 0.469488571428571/$X190, 0.469488571428571)</f>
        <v>0.23014145658263283</v>
      </c>
      <c r="AW190" s="88">
        <f>IF($Z$3="yes", 0.638959999999999/$X190, 0.638959999999999)</f>
        <v>0.3132156862745093</v>
      </c>
      <c r="AX190" s="88">
        <f>IF($Z$3="yes", 0.14833/$X190, 0.14833)</f>
        <v>7.2710784313725491E-2</v>
      </c>
      <c r="AY190" s="88">
        <f>IF($Z$3="yes", 0.377426999999998/$X190, 0.377426999999998)</f>
        <v>0.18501323529411667</v>
      </c>
      <c r="AZ190" s="88">
        <f>IF($Z$3="yes", 0.43821057142857/$X190, 0.43821057142857)</f>
        <v>0.21480910364145589</v>
      </c>
      <c r="BA190" s="88">
        <f>IF($Z$3="yes", 0.607681999999999/$X190, 0.607681999999999)</f>
        <v>0.29788333333333283</v>
      </c>
      <c r="BB190" s="88">
        <f>IF($Z$3="yes", 0.229096999999998/$X190, 0.229096999999998)</f>
        <v>0.11230245098039117</v>
      </c>
      <c r="BC190" s="88">
        <f>IF($Z$3="yes", 0.28988057142857/$X190, 0.28988057142857)</f>
        <v>0.14209831932773037</v>
      </c>
      <c r="BD190" s="88">
        <f>IF($Z$3="yes", 0.459351999999998/$X190, 0.459351999999998)</f>
        <v>0.22517254901960684</v>
      </c>
      <c r="BE190" s="88">
        <f>IF($Z$3="yes", 0.0607835714285722/$X190, 0.0607835714285722)</f>
        <v>2.9795868347339313E-2</v>
      </c>
      <c r="BF190" s="88">
        <f>IF($Z$3="yes", 0.230255/$X190, 0.230255)</f>
        <v>0.11287009803921567</v>
      </c>
      <c r="BG190" s="88">
        <f>IF($Z$3="yes", 0.169471428571428/$X190, 0.169471428571428)</f>
        <v>8.3074229691876472E-2</v>
      </c>
      <c r="BH190" s="88">
        <f>IF($Z$3="yes", 0.528206993197278/$X190, 0.528206993197278)</f>
        <v>0.25892499666533236</v>
      </c>
      <c r="BI190" s="68"/>
      <c r="BJ190" s="68"/>
      <c r="BK190" s="68">
        <f>IF($BL$3="yes", MAX(0, (1774382 - 2116450.6) / 1197855.08950199), 2116450.6)</f>
        <v>2116450.6</v>
      </c>
      <c r="BL190" s="68">
        <f>IF($BL$3="yes", MAX(0, (1774382 - 1992852) / 969749.051124465), 1992852)</f>
        <v>1992852</v>
      </c>
      <c r="BM190" s="68">
        <f>IF($BL$3="yes", MAX(0, (1774382 - 1763346.35) / 1843032.09928487), 1763346.35)</f>
        <v>1763346.35</v>
      </c>
      <c r="BN190" s="68">
        <f>IF($BL$3="yes", MAX(0, (1774382 - 1404892.58) / 1785303.34734748), 1404892.58)</f>
        <v>1404892.58</v>
      </c>
      <c r="BO190" s="68">
        <f>IF($BL$3="yes", MAX(0, (1774382 - 1165565.67) / 2948160.94423955), 1165565.67)</f>
        <v>1165565.67</v>
      </c>
      <c r="BP190" s="68">
        <f>IF($BL$3="yes", MAX(0, (1774382 - 686634.11) / 2199861.41226747), 686634.11)</f>
        <v>686634.11</v>
      </c>
      <c r="BQ190" s="68">
        <v>61.593841584541202</v>
      </c>
      <c r="BR190" s="68"/>
      <c r="BS190" s="68"/>
      <c r="BT190" s="68">
        <v>450896.1292109543</v>
      </c>
      <c r="BU190" s="68">
        <v>383121.82340672967</v>
      </c>
      <c r="BV190" s="68">
        <f>IF($Z$3="yes", 0.23974452414695/$X190, 0.23974452414695)</f>
        <v>0.11752182556223038</v>
      </c>
      <c r="BW190" s="68">
        <f>IF($Z$3="yes", 0.180877435105882/$X190, 0.180877435105882)</f>
        <v>8.8665409365628431E-2</v>
      </c>
      <c r="BX190" s="68">
        <f>$BW$169 - $BV$169</f>
        <v>1.7171173289655603E-2</v>
      </c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81"/>
      <c r="CR190" s="81"/>
      <c r="CS190" s="68"/>
      <c r="CT190" s="68"/>
      <c r="CU190" s="68"/>
    </row>
    <row r="191" spans="1:99" ht="15.75" customHeight="1" thickBot="1" x14ac:dyDescent="0.3">
      <c r="A191" s="84" t="s">
        <v>194</v>
      </c>
      <c r="B191" s="67" t="s">
        <v>128</v>
      </c>
      <c r="C191" s="83" t="s">
        <v>547</v>
      </c>
      <c r="D191" s="67" t="s">
        <v>548</v>
      </c>
      <c r="E191" s="67">
        <v>1</v>
      </c>
      <c r="F191" s="85">
        <v>2.65</v>
      </c>
      <c r="G191" s="313">
        <v>44243</v>
      </c>
      <c r="H191" s="317">
        <v>1.35</v>
      </c>
      <c r="I191" s="85">
        <v>3.88</v>
      </c>
      <c r="J191" s="313">
        <v>44246</v>
      </c>
      <c r="K191" s="125">
        <f t="shared" si="6"/>
        <v>-0.49056603773584906</v>
      </c>
      <c r="L191" s="176">
        <f t="shared" si="7"/>
        <v>0.46415094339622653</v>
      </c>
      <c r="M191" s="312">
        <v>44407</v>
      </c>
      <c r="N191" s="68"/>
      <c r="O191" s="291">
        <v>11637283</v>
      </c>
      <c r="P191" s="291">
        <v>5680000</v>
      </c>
      <c r="Q191" s="291">
        <v>3</v>
      </c>
      <c r="R191" s="68" t="s">
        <v>152</v>
      </c>
      <c r="S191" s="68" t="s">
        <v>281</v>
      </c>
      <c r="T191" s="68" t="s">
        <v>297</v>
      </c>
      <c r="U191" s="68">
        <v>148</v>
      </c>
      <c r="V191" s="68">
        <v>1574905</v>
      </c>
      <c r="W191" s="68"/>
      <c r="X191" s="68">
        <v>3.35</v>
      </c>
      <c r="Y191" s="68">
        <v>1.8765320000000001</v>
      </c>
      <c r="Z191" s="68">
        <v>2.6037729999999999</v>
      </c>
      <c r="AA191" s="68">
        <v>2.6304759999999989</v>
      </c>
      <c r="AB191" s="68">
        <v>2.902968</v>
      </c>
      <c r="AC191" s="68">
        <v>2.607270000000002</v>
      </c>
      <c r="AD191" s="68">
        <v>2.6103857142857159</v>
      </c>
      <c r="AE191" s="68">
        <v>2.8256750000000008</v>
      </c>
      <c r="AF191" s="68">
        <f>IF($Z$3="yes", 0.0122621906547663/$X191, 0.0122621906547663)</f>
        <v>3.6603554193332236E-3</v>
      </c>
      <c r="AG191" s="68">
        <f>IF($Z$3="yes", 0.00985306510651073/$X191, 0.00985306510651073)</f>
        <v>2.9412134646300686E-3</v>
      </c>
      <c r="AH191" s="68">
        <f>IF($Z$3="yes", -0.00511200000000016/$X191, -0.00511200000000016)</f>
        <v>-1.525970149253779E-3</v>
      </c>
      <c r="AI191" s="68">
        <f>IF($Z$3="yes", -0.0367093205282115/$X191, -0.0367093205282115)</f>
        <v>-1.0958006127824329E-2</v>
      </c>
      <c r="AJ191" s="68">
        <f>IF($Z$3="yes", 0.022458796992477/$X191, 0.022458796992477)</f>
        <v>6.7041185052170143E-3</v>
      </c>
      <c r="AK191" s="68">
        <f>IF($Z$3="yes", 0.0594237362637369/$X191, 0.0594237362637369)</f>
        <v>1.7738428735443849E-2</v>
      </c>
      <c r="AL191" s="68">
        <f>IF($Z$3="yes", 0.036730952380958/$X191, 0.036730952380958)</f>
        <v>1.0964463397300894E-2</v>
      </c>
      <c r="AM191" s="68">
        <f>IF($Z$3="yes", 0.727240999999999/$X191, 0.727240999999999)</f>
        <v>0.21708686567164148</v>
      </c>
      <c r="AN191" s="68">
        <f>IF($Z$3="yes", 0.753943999999999/$X191, 0.753943999999999)</f>
        <v>0.22505791044776088</v>
      </c>
      <c r="AO191" s="68">
        <f>IF($Z$3="yes", 1.02643599999999/$X191, 1.02643599999999)</f>
        <v>0.30639880597014624</v>
      </c>
      <c r="AP191" s="68">
        <f>IF($Z$3="yes", 0.730738000000001/$X191, 0.730738000000001)</f>
        <v>0.218130746268657</v>
      </c>
      <c r="AQ191" s="68">
        <f>IF($Z$3="yes", 0.733853714285715/$X191, 0.733853714285715)</f>
        <v>0.2190608102345418</v>
      </c>
      <c r="AR191" s="68">
        <f>IF($Z$3="yes", 0.949143/$X191, 0.949143)</f>
        <v>0.2833262686567164</v>
      </c>
      <c r="AS191" s="68">
        <f>IF($Z$3="yes", 0.0267029999999994/$X191, 0.0267029999999994)</f>
        <v>7.9710447761192245E-3</v>
      </c>
      <c r="AT191" s="68">
        <f>IF($Z$3="yes", 0.299194999999999/$X191, 0.299194999999999)</f>
        <v>8.9311940298507156E-2</v>
      </c>
      <c r="AU191" s="88">
        <f>IF($Z$3="yes", 0.00349700000000163/$X191, 0.00349700000000163)</f>
        <v>1.0438805970154118E-3</v>
      </c>
      <c r="AV191" s="88">
        <f>IF($Z$3="yes", 0.00661271428571597/$X191, 0.00661271428571597)</f>
        <v>1.9739445629002898E-3</v>
      </c>
      <c r="AW191" s="88">
        <f>IF($Z$3="yes", 0.221902/$X191, 0.221902)</f>
        <v>6.6239402985074622E-2</v>
      </c>
      <c r="AX191" s="88">
        <f>IF($Z$3="yes", 0.272492/$X191, 0.272492)</f>
        <v>8.134089552238806E-2</v>
      </c>
      <c r="AY191" s="88">
        <f>IF($Z$3="yes", 0.295697999999998/$X191, 0.295697999999998)</f>
        <v>8.8268059701491944E-2</v>
      </c>
      <c r="AZ191" s="88">
        <f>IF($Z$3="yes", 0.292582285714283/$X191, 0.292582285714283)</f>
        <v>8.7337995735606869E-2</v>
      </c>
      <c r="BA191" s="88">
        <f>IF($Z$3="yes", 0.0772929999999987/$X191, 0.0772929999999987)</f>
        <v>2.3072537313432447E-2</v>
      </c>
      <c r="BB191" s="88">
        <f>IF($Z$3="yes", 0.0232059999999978/$X191, 0.0232059999999978)</f>
        <v>6.9271641791038207E-3</v>
      </c>
      <c r="BC191" s="88">
        <f>IF($Z$3="yes", 0.0200902857142835/$X191, 0.0200902857142835)</f>
        <v>5.9971002132189546E-3</v>
      </c>
      <c r="BD191" s="88">
        <f>IF($Z$3="yes", 0.195199000000001/$X191, 0.195199000000001)</f>
        <v>5.8268358208955526E-2</v>
      </c>
      <c r="BE191" s="88">
        <f>IF($Z$3="yes", 0.00311571428571433/$X191, 0.00311571428571433)</f>
        <v>9.3006396588487465E-4</v>
      </c>
      <c r="BF191" s="88">
        <f>IF($Z$3="yes", 0.218404999999999/$X191, 0.218404999999999)</f>
        <v>6.5195522388059396E-2</v>
      </c>
      <c r="BG191" s="88">
        <f>IF($Z$3="yes", 0.215289285714284/$X191, 0.215289285714284)</f>
        <v>6.4265458422174321E-2</v>
      </c>
      <c r="BH191" s="88">
        <f>IF($Z$3="yes", 0.526071986394557/$X191, 0.526071986394557)</f>
        <v>0.15703641384912148</v>
      </c>
      <c r="BI191" s="68"/>
      <c r="BJ191" s="68"/>
      <c r="BK191" s="68">
        <f>IF($BL$3="yes", MAX(0, (1574905 - 653513) / 573588.135841389), 653513)</f>
        <v>653513</v>
      </c>
      <c r="BL191" s="68">
        <f>IF($BL$3="yes", MAX(0, (1574905 - 581096) / 604834.189779149), 581096)</f>
        <v>581096</v>
      </c>
      <c r="BM191" s="68">
        <f>IF($BL$3="yes", MAX(0, (1574905 - 335466.15) / 496660.222050978), 335466.15)</f>
        <v>335466.15000000002</v>
      </c>
      <c r="BN191" s="68">
        <f>IF($BL$3="yes", MAX(0, (1574905 - 169484.72) / 344419.436309511), 169484.72)</f>
        <v>169484.72</v>
      </c>
      <c r="BO191" s="68">
        <f>IF($BL$3="yes", MAX(0, (1574905 - 1065997.51) / 4776706.22258019), 1065997.51)</f>
        <v>1065997.51</v>
      </c>
      <c r="BP191" s="68">
        <f>IF($BL$3="yes", MAX(0, (1574905 - 562941.47) / 3420148.02741783), 562941.47)</f>
        <v>562941.47</v>
      </c>
      <c r="BQ191" s="68">
        <v>63.936762462378027</v>
      </c>
      <c r="BR191" s="68"/>
      <c r="BS191" s="68"/>
      <c r="BT191" s="68">
        <v>20875917.059657991</v>
      </c>
      <c r="BU191" s="68">
        <v>368066.39809701592</v>
      </c>
      <c r="BV191" s="68">
        <f>IF($Z$3="yes", 0.353733729589993/$X191, 0.353733729589993)</f>
        <v>0.10559215808656507</v>
      </c>
      <c r="BW191" s="68">
        <f>IF($Z$3="yes", 0.344738471278904/$X191, 0.344738471278904)</f>
        <v>0.10290700635191163</v>
      </c>
      <c r="BX191" s="68">
        <f>$BW$172 - $BV$172</f>
        <v>3.9353865955526451E-2</v>
      </c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81"/>
      <c r="CR191" s="81"/>
      <c r="CS191" s="68"/>
      <c r="CT191" s="68"/>
      <c r="CU191" s="68"/>
    </row>
    <row r="192" spans="1:99" ht="15.75" customHeight="1" thickBot="1" x14ac:dyDescent="0.3">
      <c r="A192" s="84" t="s">
        <v>194</v>
      </c>
      <c r="B192" s="67" t="s">
        <v>128</v>
      </c>
      <c r="C192" s="83" t="s">
        <v>547</v>
      </c>
      <c r="D192" s="67" t="s">
        <v>549</v>
      </c>
      <c r="E192" s="67">
        <v>1</v>
      </c>
      <c r="F192" s="85">
        <v>4</v>
      </c>
      <c r="G192" s="313">
        <v>44243</v>
      </c>
      <c r="H192" s="317">
        <v>1.66</v>
      </c>
      <c r="I192" s="85">
        <v>5.19</v>
      </c>
      <c r="J192" s="313">
        <v>44245</v>
      </c>
      <c r="K192" s="125">
        <f t="shared" si="6"/>
        <v>-0.58499999999999996</v>
      </c>
      <c r="L192" s="119">
        <f t="shared" si="7"/>
        <v>0.2975000000000001</v>
      </c>
      <c r="M192" s="312">
        <v>44407</v>
      </c>
      <c r="N192" s="68"/>
      <c r="O192" s="291">
        <v>12000000</v>
      </c>
      <c r="P192" s="291">
        <v>7050000</v>
      </c>
      <c r="Q192" s="291">
        <v>2</v>
      </c>
      <c r="R192" s="68" t="s">
        <v>152</v>
      </c>
      <c r="S192" s="68" t="s">
        <v>132</v>
      </c>
      <c r="T192" s="67" t="s">
        <v>214</v>
      </c>
      <c r="U192" s="68">
        <v>168</v>
      </c>
      <c r="V192" s="68">
        <v>137135</v>
      </c>
      <c r="W192" s="68"/>
      <c r="X192" s="68">
        <v>4</v>
      </c>
      <c r="Y192" s="68" t="e">
        <v>#N/A</v>
      </c>
      <c r="Z192" s="68">
        <v>3.1560100000000011</v>
      </c>
      <c r="AA192" s="68">
        <v>3.2538020000000012</v>
      </c>
      <c r="AB192" s="68">
        <v>3.1391020000000012</v>
      </c>
      <c r="AC192" s="68">
        <v>3.4627549999999991</v>
      </c>
      <c r="AD192" s="68">
        <v>3.5296499999999971</v>
      </c>
      <c r="AE192" s="68">
        <v>3.7912500000000011</v>
      </c>
      <c r="AF192" s="68" t="e">
        <f>IF($Z$3="yes", #N/A/$X192, #N/A)</f>
        <v>#N/A</v>
      </c>
      <c r="AG192" s="68">
        <f>IF($Z$3="yes", 0.00470418241824177/$X192, 0.00470418241824177)</f>
        <v>1.1760456045604424E-3</v>
      </c>
      <c r="AH192" s="68">
        <f>IF($Z$3="yes", 0.0145211380552211/$X192, 0.0145211380552211)</f>
        <v>3.6302845138052749E-3</v>
      </c>
      <c r="AI192" s="68">
        <f>IF($Z$3="yes", 0.00467081392556932/$X192, 0.00467081392556932)</f>
        <v>1.16770348139233E-3</v>
      </c>
      <c r="AJ192" s="68">
        <f>IF($Z$3="yes", 0.0421839849624139/$X192, 0.0421839849624139)</f>
        <v>1.0545996240603475E-2</v>
      </c>
      <c r="AK192" s="68">
        <f>IF($Z$3="yes", 0.0831958241758289/$X192, 0.0831958241758289)</f>
        <v>2.0798956043957224E-2</v>
      </c>
      <c r="AL192" s="68">
        <f>IF($Z$3="yes", 0.0879761904761064/$X192, 0.0879761904761064)</f>
        <v>2.19940476190266E-2</v>
      </c>
      <c r="AM192" s="68"/>
      <c r="AN192" s="68"/>
      <c r="AO192" s="68"/>
      <c r="AP192" s="68"/>
      <c r="AQ192" s="68"/>
      <c r="AR192" s="68"/>
      <c r="AS192" s="68">
        <f>IF($Z$3="yes", 0.0977920000000005/$X192, 0.0977920000000005)</f>
        <v>2.4448000000000126E-2</v>
      </c>
      <c r="AT192" s="68">
        <f>IF($Z$3="yes", 0.0169079999999994/$X192, 0.0169079999999994)</f>
        <v>4.2269999999998498E-3</v>
      </c>
      <c r="AU192" s="88">
        <f>IF($Z$3="yes", 0.306744999999998/$X192, 0.306744999999998)</f>
        <v>7.6686249999999498E-2</v>
      </c>
      <c r="AV192" s="88">
        <f>IF($Z$3="yes", 0.373639999999996/$X192, 0.373639999999996)</f>
        <v>9.3409999999998994E-2</v>
      </c>
      <c r="AW192" s="88">
        <f>IF($Z$3="yes", 0.63524/$X192, 0.63524)</f>
        <v>0.15881000000000001</v>
      </c>
      <c r="AX192" s="88">
        <f>IF($Z$3="yes", 0.1147/$X192, 0.1147)</f>
        <v>2.8674999999999999E-2</v>
      </c>
      <c r="AY192" s="88">
        <f>IF($Z$3="yes", 0.323652999999997/$X192, 0.323652999999997)</f>
        <v>8.0913249999999257E-2</v>
      </c>
      <c r="AZ192" s="88">
        <f>IF($Z$3="yes", 0.390547999999995/$X192, 0.390547999999995)</f>
        <v>9.7636999999998753E-2</v>
      </c>
      <c r="BA192" s="88">
        <f>IF($Z$3="yes", 0.652147999999999/$X192, 0.652147999999999)</f>
        <v>0.16303699999999974</v>
      </c>
      <c r="BB192" s="88">
        <f>IF($Z$3="yes", 0.208952999999997/$X192, 0.208952999999997)</f>
        <v>5.2238249999999251E-2</v>
      </c>
      <c r="BC192" s="88">
        <f>IF($Z$3="yes", 0.275847999999995/$X192, 0.275847999999995)</f>
        <v>6.8961999999998747E-2</v>
      </c>
      <c r="BD192" s="88">
        <f>IF($Z$3="yes", 0.537447999999999/$X192, 0.537447999999999)</f>
        <v>0.13436199999999976</v>
      </c>
      <c r="BE192" s="88">
        <f>IF($Z$3="yes", 0.0668949999999979/$X192, 0.0668949999999979)</f>
        <v>1.6723749999999475E-2</v>
      </c>
      <c r="BF192" s="88">
        <f>IF($Z$3="yes", 0.328495000000002/$X192, 0.328495000000002)</f>
        <v>8.2123750000000495E-2</v>
      </c>
      <c r="BG192" s="88">
        <f>IF($Z$3="yes", 0.261600000000004/$X192, 0.261600000000004)</f>
        <v>6.5400000000000999E-2</v>
      </c>
      <c r="BH192" s="88">
        <f>IF($Z$3="yes", 0.567214904761903/$X192, 0.567214904761903)</f>
        <v>0.14180372619047574</v>
      </c>
      <c r="BI192" s="68"/>
      <c r="BJ192" s="68"/>
      <c r="BK192" s="68">
        <f>IF($BL$3="yes", MAX(0, (137135 - 371198.6) / 208583.591540274), 371198.6)</f>
        <v>371198.6</v>
      </c>
      <c r="BL192" s="68">
        <f>IF($BL$3="yes", MAX(0, (137135 - 906076.1) / 1286908.14447088), 906076.1)</f>
        <v>906076.1</v>
      </c>
      <c r="BM192" s="68">
        <f>IF($BL$3="yes", MAX(0, (137135 - 574556.75) / 990406.587400794), 574556.75)</f>
        <v>574556.75</v>
      </c>
      <c r="BN192" s="68">
        <f>IF($BL$3="yes", MAX(0, (137135 - 328604.46) / 704972.293988074), 328604.46)</f>
        <v>328604.46000000002</v>
      </c>
      <c r="BO192" s="68">
        <f>IF($BL$3="yes", MAX(0, (137135 - 191929.15) / 520967.36006265), 191929.15)</f>
        <v>191929.15</v>
      </c>
      <c r="BP192" s="68">
        <f>IF($BL$3="yes", MAX(0, (137135 - 203649.643356643) / 478368.988518722), 203649.643356643)</f>
        <v>203649.64335664301</v>
      </c>
      <c r="BQ192" s="68">
        <v>68.209111572443987</v>
      </c>
      <c r="BR192" s="68"/>
      <c r="BS192" s="68"/>
      <c r="BT192" s="68">
        <v>-6134401.7181826187</v>
      </c>
      <c r="BU192" s="68">
        <v>-64046.635364240967</v>
      </c>
      <c r="BV192" s="68">
        <f>IF($Z$3="yes", 0.40074446392414/$X192, 0.40074446392414)</f>
        <v>0.100186115981035</v>
      </c>
      <c r="BW192" s="68">
        <f>IF($Z$3="yes", 0.270278666143337/$X192, 0.270278666143337)</f>
        <v>6.7569666535834252E-2</v>
      </c>
      <c r="BX192" s="68">
        <f>$BW$170 - $BV$170</f>
        <v>-3.8118373877659706E-3</v>
      </c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81"/>
      <c r="CR192" s="81"/>
      <c r="CS192" s="68"/>
      <c r="CT192" s="68"/>
      <c r="CU192" s="68"/>
    </row>
    <row r="193" spans="1:99" ht="15.75" customHeight="1" thickBot="1" x14ac:dyDescent="0.3">
      <c r="A193" s="84" t="s">
        <v>550</v>
      </c>
      <c r="B193" s="67" t="s">
        <v>128</v>
      </c>
      <c r="C193" s="83" t="s">
        <v>547</v>
      </c>
      <c r="D193" s="67" t="s">
        <v>551</v>
      </c>
      <c r="E193" s="67">
        <v>1</v>
      </c>
      <c r="F193" s="85">
        <v>2.74</v>
      </c>
      <c r="G193" s="313">
        <v>44243</v>
      </c>
      <c r="H193" s="317">
        <v>1.74</v>
      </c>
      <c r="I193" s="85">
        <v>3.21</v>
      </c>
      <c r="J193" s="313">
        <v>44244</v>
      </c>
      <c r="K193" s="125">
        <f t="shared" si="6"/>
        <v>-0.36496350364963503</v>
      </c>
      <c r="L193" s="121">
        <f t="shared" si="7"/>
        <v>0.17153284671532831</v>
      </c>
      <c r="M193" s="312">
        <v>44407</v>
      </c>
      <c r="N193" s="68"/>
      <c r="O193" s="291">
        <v>9923338</v>
      </c>
      <c r="P193" s="291">
        <v>9100000</v>
      </c>
      <c r="Q193" s="291">
        <v>1</v>
      </c>
      <c r="R193" s="68" t="s">
        <v>131</v>
      </c>
      <c r="S193" s="68" t="s">
        <v>220</v>
      </c>
      <c r="T193" s="68" t="s">
        <v>546</v>
      </c>
      <c r="U193" s="68">
        <v>616</v>
      </c>
      <c r="V193" s="68">
        <v>5386060</v>
      </c>
      <c r="W193" s="68"/>
      <c r="X193" s="68">
        <v>3.24</v>
      </c>
      <c r="Y193" s="68">
        <v>1.693998999999998</v>
      </c>
      <c r="Z193" s="68">
        <v>1.809585</v>
      </c>
      <c r="AA193" s="68">
        <v>2.0267520000000001</v>
      </c>
      <c r="AB193" s="68">
        <v>1.8306340000000001</v>
      </c>
      <c r="AC193" s="68">
        <v>2.4135</v>
      </c>
      <c r="AD193" s="68">
        <v>2.5550000000000002</v>
      </c>
      <c r="AE193" s="68">
        <v>2.7050000000000001</v>
      </c>
      <c r="AF193" s="68">
        <f>IF($Z$3="yes", 0.00191064471611818/$X193, 0.00191064471611818)</f>
        <v>5.8970515929573453E-4</v>
      </c>
      <c r="AG193" s="68">
        <f>IF($Z$3="yes", 0.00923075847584753/$X193, 0.00923075847584753)</f>
        <v>2.848999529582571E-3</v>
      </c>
      <c r="AH193" s="68">
        <f>IF($Z$3="yes", 0.0237426554621853/$X193, 0.0237426554621853)</f>
        <v>7.3279800809213881E-3</v>
      </c>
      <c r="AI193" s="68">
        <f>IF($Z$3="yes", 0.0139941080432177/$X193, 0.0139941080432177)</f>
        <v>4.3191691491412656E-3</v>
      </c>
      <c r="AJ193" s="68">
        <f>IF($Z$3="yes", 0.0497969924812073/$X193, 0.0497969924812073)</f>
        <v>1.5369442123829413E-2</v>
      </c>
      <c r="AK193" s="68">
        <f>IF($Z$3="yes", 0.0517582417582414/$X193, 0.0517582417582414)</f>
        <v>1.5974765974765864E-2</v>
      </c>
      <c r="AL193" s="68">
        <f>IF($Z$3="yes", 0.103095238095254/$X193, 0.103095238095254)</f>
        <v>3.181951793063395E-2</v>
      </c>
      <c r="AM193" s="68">
        <f>IF($Z$3="yes", 0.115586000000002/$X193, 0.115586000000002)</f>
        <v>3.5674691358025305E-2</v>
      </c>
      <c r="AN193" s="68">
        <f>IF($Z$3="yes", 0.332753000000002/$X193, 0.332753000000002)</f>
        <v>0.10270154320987716</v>
      </c>
      <c r="AO193" s="68">
        <f>IF($Z$3="yes", 0.136635000000002/$X193, 0.136635000000002)</f>
        <v>4.2171296296296915E-2</v>
      </c>
      <c r="AP193" s="68">
        <f>IF($Z$3="yes", 0.719501000000002/$X193, 0.719501000000002)</f>
        <v>0.2220682098765438</v>
      </c>
      <c r="AQ193" s="68">
        <f>IF($Z$3="yes", 0.861001000000002/$X193, 0.861001000000002)</f>
        <v>0.26574104938271664</v>
      </c>
      <c r="AR193" s="68">
        <f>IF($Z$3="yes", 1.011001/$X193, 1.011001)</f>
        <v>0.31203734567901231</v>
      </c>
      <c r="AS193" s="68">
        <f>IF($Z$3="yes", 0.217166999999999/$X193, 0.217166999999999)</f>
        <v>6.7026851851851532E-2</v>
      </c>
      <c r="AT193" s="68">
        <f>IF($Z$3="yes", 0.0210489999999996/$X193, 0.0210489999999996)</f>
        <v>6.4966049382714809E-3</v>
      </c>
      <c r="AU193" s="88">
        <f>IF($Z$3="yes", 0.603914999999999/$X193, 0.603914999999999)</f>
        <v>0.18639351851851818</v>
      </c>
      <c r="AV193" s="88">
        <f>IF($Z$3="yes", 0.745414999999999/$X193, 0.745414999999999)</f>
        <v>0.23006635802469105</v>
      </c>
      <c r="AW193" s="88">
        <f>IF($Z$3="yes", 0.895414999999999/$X193, 0.895414999999999)</f>
        <v>0.27636265432098733</v>
      </c>
      <c r="AX193" s="88">
        <f>IF($Z$3="yes", 0.196118/$X193, 0.196118)</f>
        <v>6.0530246913580242E-2</v>
      </c>
      <c r="AY193" s="88">
        <f>IF($Z$3="yes", 0.582865999999999/$X193, 0.582865999999999)</f>
        <v>0.17989691358024659</v>
      </c>
      <c r="AZ193" s="88">
        <f>IF($Z$3="yes", 0.724366/$X193, 0.724366)</f>
        <v>0.22356975308641971</v>
      </c>
      <c r="BA193" s="88">
        <f>IF($Z$3="yes", 0.874366/$X193, 0.874366)</f>
        <v>0.26986604938271602</v>
      </c>
      <c r="BB193" s="88">
        <f>IF($Z$3="yes", 0.386747999999999/$X193, 0.386747999999999)</f>
        <v>0.11936666666666634</v>
      </c>
      <c r="BC193" s="88">
        <f>IF($Z$3="yes", 0.528248/$X193, 0.528248)</f>
        <v>0.16303950617283952</v>
      </c>
      <c r="BD193" s="88">
        <f>IF($Z$3="yes", 0.678248/$X193, 0.678248)</f>
        <v>0.20933580246913577</v>
      </c>
      <c r="BE193" s="88">
        <f>IF($Z$3="yes", 0.1415/$X193, 0.1415)</f>
        <v>4.3672839506172831E-2</v>
      </c>
      <c r="BF193" s="88">
        <f>IF($Z$3="yes", 0.2915/$X193, 0.2915)</f>
        <v>8.9969135802469125E-2</v>
      </c>
      <c r="BG193" s="88">
        <f>IF($Z$3="yes", 0.149999999999999/$X193, 0.149999999999999)</f>
        <v>4.6296296296295981E-2</v>
      </c>
      <c r="BH193" s="88">
        <f>IF($Z$3="yes", 0.715479/$X193, 0.715479)</f>
        <v>0.22082685185185183</v>
      </c>
      <c r="BI193" s="68"/>
      <c r="BJ193" s="68"/>
      <c r="BK193" s="68">
        <f>IF($BL$3="yes", MAX(0, (5386060 - 3830539.4) / 1955857.01868327), 3830539.4)</f>
        <v>3830539.4</v>
      </c>
      <c r="BL193" s="68">
        <f>IF($BL$3="yes", MAX(0, (5386060 - 3348884.9) / 1745231.1688929), 3348884.9)</f>
        <v>3348884.9</v>
      </c>
      <c r="BM193" s="68">
        <f>IF($BL$3="yes", MAX(0, (5386060 - 3948231.5) / 5405807.54430248), 3948231.5)</f>
        <v>3948231.5</v>
      </c>
      <c r="BN193" s="68">
        <f>IF($BL$3="yes", MAX(0, (5386060 - 1951790.28) / 3845248.41356486), 1951790.28)</f>
        <v>1951790.28</v>
      </c>
      <c r="BO193" s="68">
        <f>IF($BL$3="yes", MAX(0, (5386060 - 2964210.67) / 14697315.9255338), 2964210.67)</f>
        <v>2964210.67</v>
      </c>
      <c r="BP193" s="68">
        <f>IF($BL$3="yes", MAX(0, (5386060 - 1727611.699) / 10474798.4966373), 1727611.699)</f>
        <v>1727611.699</v>
      </c>
      <c r="BQ193" s="68">
        <v>66.858878502486334</v>
      </c>
      <c r="BR193" s="68"/>
      <c r="BS193" s="68"/>
      <c r="BT193" s="68">
        <v>-109669479.71336091</v>
      </c>
      <c r="BU193" s="68">
        <v>509588.68073445559</v>
      </c>
      <c r="BV193" s="68">
        <f>IF($Z$3="yes", 0.380247586331485/$X193, 0.380247586331485)</f>
        <v>0.11736036615169289</v>
      </c>
      <c r="BW193" s="68">
        <f>IF($Z$3="yes", 0.186270050955459/$X193, 0.186270050955459)</f>
        <v>5.7490756467734258E-2</v>
      </c>
      <c r="BX193" s="68">
        <f>$BW$171 - $BV$171</f>
        <v>-8.2756759061160673E-3</v>
      </c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81"/>
      <c r="CR193" s="81"/>
      <c r="CS193" s="68"/>
      <c r="CT193" s="68"/>
      <c r="CU193" s="68"/>
    </row>
    <row r="194" spans="1:99" ht="15.75" customHeight="1" thickBot="1" x14ac:dyDescent="0.3">
      <c r="A194" s="84"/>
      <c r="B194" s="67" t="s">
        <v>181</v>
      </c>
      <c r="C194" s="83" t="s">
        <v>552</v>
      </c>
      <c r="D194" s="67" t="s">
        <v>553</v>
      </c>
      <c r="E194" s="67">
        <v>1</v>
      </c>
      <c r="F194" s="85">
        <v>3.7000000000000002E-3</v>
      </c>
      <c r="G194" s="313">
        <v>44236</v>
      </c>
      <c r="H194" s="317">
        <v>5.9999999999999995E-4</v>
      </c>
      <c r="I194" s="317">
        <v>8.8000000000000005E-3</v>
      </c>
      <c r="J194" s="313">
        <v>44244</v>
      </c>
      <c r="K194" s="125">
        <f t="shared" si="6"/>
        <v>-0.83783783783783783</v>
      </c>
      <c r="L194" s="134">
        <f t="shared" si="7"/>
        <v>1.3783783783783785</v>
      </c>
      <c r="M194" s="312">
        <v>44407</v>
      </c>
      <c r="N194" s="68"/>
      <c r="O194" s="68">
        <v>9690963637</v>
      </c>
      <c r="P194" s="68"/>
      <c r="Q194" s="68">
        <v>8</v>
      </c>
      <c r="R194" s="68"/>
      <c r="S194" s="68" t="s">
        <v>148</v>
      </c>
      <c r="T194" s="68"/>
      <c r="U194" s="68">
        <v>2004</v>
      </c>
      <c r="V194" s="68">
        <v>1273401784</v>
      </c>
      <c r="W194" s="68"/>
      <c r="X194" s="68">
        <v>3.7000000000000002E-3</v>
      </c>
      <c r="Y194" s="68" t="e">
        <v>#N/A</v>
      </c>
      <c r="Z194" s="68">
        <v>4.9699999999999972E-4</v>
      </c>
      <c r="AA194" s="68">
        <v>7.7000000000000094E-4</v>
      </c>
      <c r="AB194" s="68">
        <v>4.6200000000000071E-4</v>
      </c>
      <c r="AC194" s="68">
        <v>1.2949999999999999E-3</v>
      </c>
      <c r="AD194" s="68">
        <v>1.6142857142857139E-3</v>
      </c>
      <c r="AE194" s="68">
        <v>1.8749999999999991E-3</v>
      </c>
      <c r="AF194" s="68" t="e">
        <f>IF($Z$3="yes", #N/A/$X194, #N/A)</f>
        <v>#N/A</v>
      </c>
      <c r="AG194" s="68">
        <f>IF($Z$3="yes", 0.0000123738373837384/$X194, 0.0000123738373837384)</f>
        <v>3.3442803739833511E-3</v>
      </c>
      <c r="AH194" s="68">
        <f>IF($Z$3="yes", 0.000034943577430972/$X194, 0.000034943577430972)</f>
        <v>9.44421011647892E-3</v>
      </c>
      <c r="AI194" s="68">
        <f>IF($Z$3="yes", 0.0000157166866746695/$X194, 0.0000157166866746695)</f>
        <v>4.2477531553160811E-3</v>
      </c>
      <c r="AJ194" s="68">
        <f>IF($Z$3="yes", 0.000116616541353383/$X194, 0.000116616541353383)</f>
        <v>3.1517984149562972E-2</v>
      </c>
      <c r="AK194" s="68">
        <f>IF($Z$3="yes", 0.000145054945054944/$X194, 0.000145054945054944)</f>
        <v>3.9204039204038921E-2</v>
      </c>
      <c r="AL194" s="68">
        <f>IF($Z$3="yes", 0.000426190476190477/$X194, 0.000426190476190477)</f>
        <v>0.1151866151866154</v>
      </c>
      <c r="AM194" s="68"/>
      <c r="AN194" s="68"/>
      <c r="AO194" s="68"/>
      <c r="AP194" s="68"/>
      <c r="AQ194" s="68"/>
      <c r="AR194" s="68"/>
      <c r="AS194" s="68">
        <f>IF($Z$3="yes", 0.000273000000000001/$X194, 0.000273000000000001)</f>
        <v>7.3783783783784057E-2</v>
      </c>
      <c r="AT194" s="68">
        <f>IF($Z$3="yes", 0.000034999999999999/$X194, 0.000034999999999999)</f>
        <v>9.4594594594591894E-3</v>
      </c>
      <c r="AU194" s="88">
        <f>IF($Z$3="yes", 0.000798/$X194, 0.000798)</f>
        <v>0.21567567567567567</v>
      </c>
      <c r="AV194" s="88">
        <f>IF($Z$3="yes", 0.00111728571428571/$X194, 0.00111728571428571)</f>
        <v>0.3019691119691108</v>
      </c>
      <c r="AW194" s="88">
        <f>IF($Z$3="yes", 0.00137799999999999/$X194, 0.00137799999999999)</f>
        <v>0.37243243243242968</v>
      </c>
      <c r="AX194" s="88">
        <f>IF($Z$3="yes", 0.000308/$X194, 0.000308)</f>
        <v>8.324324324324324E-2</v>
      </c>
      <c r="AY194" s="88">
        <f>IF($Z$3="yes", 0.000832999999999999/$X194, 0.000832999999999999)</f>
        <v>0.22513513513513486</v>
      </c>
      <c r="AZ194" s="88">
        <f>IF($Z$3="yes", 0.00115228571428571/$X194, 0.00115228571428571)</f>
        <v>0.31142857142857028</v>
      </c>
      <c r="BA194" s="88">
        <f>IF($Z$3="yes", 0.00141299999999999/$X194, 0.00141299999999999)</f>
        <v>0.38189189189188916</v>
      </c>
      <c r="BB194" s="88">
        <f>IF($Z$3="yes", 0.000524999999999999/$X194, 0.000524999999999999)</f>
        <v>0.14189189189189161</v>
      </c>
      <c r="BC194" s="88">
        <f>IF($Z$3="yes", 0.000844285714285713/$X194, 0.000844285714285713)</f>
        <v>0.22818532818532783</v>
      </c>
      <c r="BD194" s="88">
        <f>IF($Z$3="yes", 0.00110499999999999/$X194, 0.00110499999999999)</f>
        <v>0.29864864864864599</v>
      </c>
      <c r="BE194" s="88">
        <f>IF($Z$3="yes", 0.000319285714285714/$X194, 0.000319285714285714)</f>
        <v>8.6293436293436221E-2</v>
      </c>
      <c r="BF194" s="88">
        <f>IF($Z$3="yes", 0.000579999999999999/$X194, 0.000579999999999999)</f>
        <v>0.15675675675675649</v>
      </c>
      <c r="BG194" s="88">
        <f>IF($Z$3="yes", 0.000260714285714285/$X194, 0.000260714285714285)</f>
        <v>7.0463320463320267E-2</v>
      </c>
      <c r="BH194" s="88">
        <f>IF($Z$3="yes", 0.000687197278911564/$X194, 0.000687197278911564)</f>
        <v>0.1857289943004227</v>
      </c>
      <c r="BI194" s="68"/>
      <c r="BJ194" s="68"/>
      <c r="BK194" s="68">
        <f>IF($BL$3="yes", MAX(0, (1273401784 - 1089609757) / 781865966.750001), 1089609757)</f>
        <v>1089609757</v>
      </c>
      <c r="BL194" s="68">
        <f>IF($BL$3="yes", MAX(0, (1273401784 - 746963418.2) / 657825142.915925), 746963418.2)</f>
        <v>746963418.20000005</v>
      </c>
      <c r="BM194" s="68">
        <f>IF($BL$3="yes", MAX(0, (1273401784 - 775601627.8) / 710555694.854521), 775601627.8)</f>
        <v>775601627.79999995</v>
      </c>
      <c r="BN194" s="68">
        <f>IF($BL$3="yes", MAX(0, (1273401784 - 553492605.5) / 542414739.885682), 553492605.5)</f>
        <v>553492605.5</v>
      </c>
      <c r="BO194" s="68">
        <f>IF($BL$3="yes", MAX(0, (1273401784 - 287627736.96) / 466881401.188098), 287627736.96)</f>
        <v>287627736.95999998</v>
      </c>
      <c r="BP194" s="68">
        <f>IF($BL$3="yes", MAX(0, (1273401784 - 187490634.795) / 352385958.359314), 187490634.795)</f>
        <v>187490634.79499999</v>
      </c>
      <c r="BQ194" s="68">
        <v>81.75545127607397</v>
      </c>
      <c r="BR194" s="68"/>
      <c r="BS194" s="68"/>
      <c r="BT194" s="68">
        <v>7231516870.5633068</v>
      </c>
      <c r="BU194" s="68">
        <v>617878133.17603397</v>
      </c>
      <c r="BV194" s="68">
        <f>IF($Z$3="yes", 0.000740049395600654/$X194, 0.000740049395600654)</f>
        <v>0.20001335016233893</v>
      </c>
      <c r="BW194" s="68">
        <f>IF($Z$3="yes", 0.000235030747877958/$X194, 0.000235030747877958)</f>
        <v>6.3521823750799455E-2</v>
      </c>
      <c r="BX194" s="68">
        <f>$BW$157 - $BV$157</f>
        <v>0</v>
      </c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81"/>
      <c r="CR194" s="81"/>
      <c r="CS194" s="68"/>
      <c r="CT194" s="68"/>
      <c r="CU194" s="68"/>
    </row>
    <row r="195" spans="1:99" ht="15.75" customHeight="1" thickBot="1" x14ac:dyDescent="0.3">
      <c r="A195" s="84" t="s">
        <v>554</v>
      </c>
      <c r="B195" s="67" t="s">
        <v>181</v>
      </c>
      <c r="C195" s="83" t="s">
        <v>552</v>
      </c>
      <c r="D195" s="67" t="s">
        <v>555</v>
      </c>
      <c r="E195" s="67">
        <v>1</v>
      </c>
      <c r="F195" s="85">
        <v>7.1</v>
      </c>
      <c r="G195" s="313">
        <v>44236</v>
      </c>
      <c r="H195" s="85">
        <v>4</v>
      </c>
      <c r="I195" s="85">
        <v>16.8</v>
      </c>
      <c r="J195" s="313">
        <v>44256</v>
      </c>
      <c r="K195" s="100">
        <f t="shared" si="6"/>
        <v>-0.43661971830985913</v>
      </c>
      <c r="L195" s="100">
        <f t="shared" si="7"/>
        <v>1.3661971830985919</v>
      </c>
      <c r="M195" s="68"/>
      <c r="N195" s="68" t="s">
        <v>556</v>
      </c>
      <c r="O195" s="68">
        <v>1360881</v>
      </c>
      <c r="P195" s="68"/>
      <c r="Q195" s="68"/>
      <c r="R195" s="68"/>
      <c r="S195" s="68"/>
      <c r="T195" s="68"/>
      <c r="U195" s="68"/>
      <c r="V195" s="68"/>
      <c r="W195" s="68"/>
      <c r="X195" s="68">
        <v>1.2999999999999999E-3</v>
      </c>
      <c r="Y195" s="68">
        <v>1.1860000000000011E-3</v>
      </c>
      <c r="Z195" s="68">
        <v>4.7799999999999899E-4</v>
      </c>
      <c r="AA195" s="68">
        <v>4.3199999999999982E-4</v>
      </c>
      <c r="AB195" s="68">
        <v>3.6600000000000001E-4</v>
      </c>
      <c r="AC195" s="68">
        <v>5.4500000000000013E-4</v>
      </c>
      <c r="AD195" s="68">
        <v>6.5714285714285722E-4</v>
      </c>
      <c r="AE195" s="68">
        <v>7.6249999999999972E-4</v>
      </c>
      <c r="AF195" s="68">
        <f>IF($Z$3="yes", -0.0000144335108377711/$X195, -0.0000144335108377711)</f>
        <v>-1.1102700644439308E-2</v>
      </c>
      <c r="AG195" s="68">
        <f>IF($Z$3="yes", -1.69336933693359E-06/$X195, -1.69336933693359E-06)</f>
        <v>-1.3025917976412231E-3</v>
      </c>
      <c r="AH195" s="68">
        <f>IF($Z$3="yes", 7.94237695078041E-06/$X195, 7.94237695078041E-06)</f>
        <v>6.1095207313695468E-3</v>
      </c>
      <c r="AI195" s="68">
        <f>IF($Z$3="yes", -2.40096038414874E-08/$X195, -2.40096038414874E-08)</f>
        <v>-1.8468926031913386E-5</v>
      </c>
      <c r="AJ195" s="68">
        <f>IF($Z$3="yes", 0.0000390225563909774/$X195, 0.0000390225563909774)</f>
        <v>3.0017351069982615E-2</v>
      </c>
      <c r="AK195" s="68">
        <f>IF($Z$3="yes", 0.0000430769230769231/$X195, 0.0000430769230769231)</f>
        <v>3.3136094674556228E-2</v>
      </c>
      <c r="AL195" s="68">
        <f>IF($Z$3="yes", 0.0000821428571428571/$X195, 0.0000821428571428571)</f>
        <v>6.3186813186813157E-2</v>
      </c>
      <c r="AM195" s="68">
        <f>IF($Z$3="yes", 0.000708000000000002/$X195, 0.000708000000000002)</f>
        <v>0.54461538461538617</v>
      </c>
      <c r="AN195" s="68">
        <f>IF($Z$3="yes", 0.000754000000000001/$X195, 0.000754000000000001)</f>
        <v>0.58000000000000074</v>
      </c>
      <c r="AO195" s="68">
        <f>IF($Z$3="yes", 0.000820000000000001/$X195, 0.000820000000000001)</f>
        <v>0.63076923076923153</v>
      </c>
      <c r="AP195" s="68">
        <f>IF($Z$3="yes", 0.000641000000000001/$X195, 0.000641000000000001)</f>
        <v>0.49307692307692391</v>
      </c>
      <c r="AQ195" s="68">
        <f>IF($Z$3="yes", 0.000528857142857144/$X195, 0.000528857142857144)</f>
        <v>0.40681318681318768</v>
      </c>
      <c r="AR195" s="68">
        <f>IF($Z$3="yes", 0.000423500000000001/$X195, 0.000423500000000001)</f>
        <v>0.32576923076923159</v>
      </c>
      <c r="AS195" s="68">
        <f>IF($Z$3="yes", 0.0000459999999999992/$X195, 0.0000459999999999992)</f>
        <v>3.5384615384614772E-2</v>
      </c>
      <c r="AT195" s="68">
        <f>IF($Z$3="yes", 0.000111999999999999/$X195, 0.000111999999999999)</f>
        <v>8.6153846153845387E-2</v>
      </c>
      <c r="AU195" s="88">
        <f>IF($Z$3="yes", 0.000067000000000001/$X195, 0.000067000000000001)</f>
        <v>5.1538461538462317E-2</v>
      </c>
      <c r="AV195" s="88">
        <f>IF($Z$3="yes", 0.000179142857142858/$X195, 0.000179142857142858)</f>
        <v>0.13780219780219846</v>
      </c>
      <c r="AW195" s="88">
        <f>IF($Z$3="yes", 0.0002845/$X195, 0.0002845)</f>
        <v>0.21884615384615383</v>
      </c>
      <c r="AX195" s="88">
        <f>IF($Z$3="yes", 0.0000659999999999997/$X195, 0.0000659999999999997)</f>
        <v>5.0769230769230539E-2</v>
      </c>
      <c r="AY195" s="88">
        <f>IF($Z$3="yes", 0.000179/$X195, 0.000179)</f>
        <v>0.1376923076923077</v>
      </c>
      <c r="AZ195" s="88">
        <f>IF($Z$3="yes", 0.000291142857142857/$X195, 0.000291142857142857)</f>
        <v>0.22395604395604385</v>
      </c>
      <c r="BA195" s="88">
        <f>IF($Z$3="yes", 0.000396499999999999/$X195, 0.000396499999999999)</f>
        <v>0.30499999999999927</v>
      </c>
      <c r="BB195" s="88">
        <f>IF($Z$3="yes", 0.000113/$X195, 0.000113)</f>
        <v>8.6923076923076922E-2</v>
      </c>
      <c r="BC195" s="88">
        <f>IF($Z$3="yes", 0.000225142857142857/$X195, 0.000225142857142857)</f>
        <v>0.17318681318681309</v>
      </c>
      <c r="BD195" s="88">
        <f>IF($Z$3="yes", 0.000330499999999999/$X195, 0.000330499999999999)</f>
        <v>0.25423076923076848</v>
      </c>
      <c r="BE195" s="88">
        <f>IF($Z$3="yes", 0.000112142857142857/$X195, 0.000112142857142857)</f>
        <v>8.6263736263736165E-2</v>
      </c>
      <c r="BF195" s="88">
        <f>IF($Z$3="yes", 0.000217499999999999/$X195, 0.000217499999999999)</f>
        <v>0.16730769230769155</v>
      </c>
      <c r="BG195" s="88">
        <f>IF($Z$3="yes", 0.000105357142857142/$X195, 0.000105357142857142)</f>
        <v>8.1043956043955381E-2</v>
      </c>
      <c r="BH195" s="88">
        <f>IF($Z$3="yes", 0.000197360544217687/$X195, 0.000197360544217687)</f>
        <v>0.15181580324437463</v>
      </c>
      <c r="BI195" s="68"/>
      <c r="BJ195" s="68"/>
      <c r="BK195" s="68">
        <f>IF($BL$3="yes", MAX(0, (330818694 - 164761949) / 96969026.4658507), 164761949)</f>
        <v>164761949</v>
      </c>
      <c r="BL195" s="68">
        <f>IF($BL$3="yes", MAX(0, (330818694 - 152340945.2) / 107718511.18672), 152340945.2)</f>
        <v>152340945.19999999</v>
      </c>
      <c r="BM195" s="68">
        <f>IF($BL$3="yes", MAX(0, (330818694 - 159066544.1) / 103121264.368447), 159066544.1)</f>
        <v>159066544.09999999</v>
      </c>
      <c r="BN195" s="68">
        <f>IF($BL$3="yes", MAX(0, (330818694 - 176269435.24) / 248693972.729983), 176269435.24)</f>
        <v>176269435.24000001</v>
      </c>
      <c r="BO195" s="68">
        <f>IF($BL$3="yes", MAX(0, (330818694 - 115336317.32) / 200030524.570994), 115336317.32)</f>
        <v>115336317.31999999</v>
      </c>
      <c r="BP195" s="68">
        <f>IF($BL$3="yes", MAX(0, (330818694 - 67602160.04) / 151801839.327278), 67602160.04)</f>
        <v>67602160.040000007</v>
      </c>
      <c r="BQ195" s="68">
        <v>75.695413301958169</v>
      </c>
      <c r="BR195" s="68"/>
      <c r="BS195" s="68"/>
      <c r="BT195" s="68">
        <v>2806881623.1238098</v>
      </c>
      <c r="BU195" s="68">
        <v>143849650.42348769</v>
      </c>
      <c r="BV195" s="68">
        <f>IF($Z$3="yes", 0.000238614182529884/$X195, 0.000238614182529884)</f>
        <v>0.18354937117683387</v>
      </c>
      <c r="BW195" s="68">
        <f>IF($Z$3="yes", 0.000199623538531788/$X195, 0.000199623538531788)</f>
        <v>0.15355656810137538</v>
      </c>
      <c r="BX195" s="68">
        <f>$BW$158 - $BV$158</f>
        <v>0</v>
      </c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81"/>
      <c r="CR195" s="81"/>
      <c r="CS195" s="68"/>
      <c r="CT195" s="68"/>
      <c r="CU195" s="68"/>
    </row>
    <row r="196" spans="1:99" ht="15.75" customHeight="1" thickBot="1" x14ac:dyDescent="0.3">
      <c r="A196" s="84"/>
      <c r="B196" s="67" t="s">
        <v>181</v>
      </c>
      <c r="C196" s="83" t="s">
        <v>552</v>
      </c>
      <c r="D196" s="67" t="s">
        <v>557</v>
      </c>
      <c r="E196" s="67">
        <v>1</v>
      </c>
      <c r="F196" s="85">
        <v>8.0000000000000004E-4</v>
      </c>
      <c r="G196" s="313">
        <v>44236</v>
      </c>
      <c r="H196" s="317">
        <v>2.9999999999999997E-4</v>
      </c>
      <c r="I196" s="317">
        <v>3.3E-3</v>
      </c>
      <c r="J196" s="313">
        <v>44237</v>
      </c>
      <c r="K196" s="208">
        <f t="shared" si="6"/>
        <v>-0.625</v>
      </c>
      <c r="L196" s="149">
        <f t="shared" si="7"/>
        <v>3.125</v>
      </c>
      <c r="M196" s="312">
        <v>44407</v>
      </c>
      <c r="N196" s="68"/>
      <c r="O196" s="68">
        <v>4254864715</v>
      </c>
      <c r="P196" s="68"/>
      <c r="Q196" s="68">
        <v>1</v>
      </c>
      <c r="R196" s="68"/>
      <c r="S196" s="68" t="s">
        <v>148</v>
      </c>
      <c r="T196" s="68"/>
      <c r="U196" s="68">
        <v>440</v>
      </c>
      <c r="V196" s="68">
        <v>211288864</v>
      </c>
      <c r="W196" s="68"/>
      <c r="X196" s="68">
        <v>1.5E-3</v>
      </c>
      <c r="Y196" s="68">
        <v>7.0199999999999657E-4</v>
      </c>
      <c r="Z196" s="68">
        <v>6.7199999999999801E-4</v>
      </c>
      <c r="AA196" s="68">
        <v>7.9999999999999993E-4</v>
      </c>
      <c r="AB196" s="68">
        <v>6.9399999999999974E-4</v>
      </c>
      <c r="AC196" s="68">
        <v>8.3000000000000055E-4</v>
      </c>
      <c r="AD196" s="68">
        <v>8.5714285714285732E-4</v>
      </c>
      <c r="AE196" s="68">
        <v>8.2499999999999934E-4</v>
      </c>
      <c r="AF196" s="68">
        <f>IF($Z$3="yes", 1.65454136353436E-06/$X196, 1.65454136353436E-06)</f>
        <v>1.1030275756895734E-3</v>
      </c>
      <c r="AG196" s="68">
        <f>IF($Z$3="yes", 3.03030303030323E-06/$X196, 3.03030303030323E-06)</f>
        <v>2.0202020202021533E-3</v>
      </c>
      <c r="AH196" s="68">
        <f>IF($Z$3="yes", 7.34693877551042E-06/$X196, 7.34693877551042E-06)</f>
        <v>4.8979591836736131E-3</v>
      </c>
      <c r="AI196" s="68">
        <f>IF($Z$3="yes", 0.0000137190876350542/$X196, 0.0000137190876350542)</f>
        <v>9.1460584233694665E-3</v>
      </c>
      <c r="AJ196" s="68">
        <f>IF($Z$3="yes", 0.0000073684210526305/$X196, 0.0000073684210526305)</f>
        <v>4.9122807017536671E-3</v>
      </c>
      <c r="AK196" s="68">
        <f>IF($Z$3="yes", 6.59340659340524E-06/$X196, 6.59340659340524E-06)</f>
        <v>4.3956043956034935E-3</v>
      </c>
      <c r="AL196" s="68">
        <f>IF($Z$3="yes", 0.0000380952380952244/$X196, 0.0000380952380952244)</f>
        <v>2.5396825396816265E-2</v>
      </c>
      <c r="AM196" s="68">
        <f>IF($Z$3="yes", 0.0000299999999999985/$X196, 0.0000299999999999985)</f>
        <v>1.9999999999998998E-2</v>
      </c>
      <c r="AN196" s="68">
        <f>IF($Z$3="yes", 0.0000980000000000033/$X196, 0.0000980000000000033)</f>
        <v>6.5333333333335533E-2</v>
      </c>
      <c r="AO196" s="68">
        <f>IF($Z$3="yes", 7.99999999999683E-06/$X196, 7.99999999999683E-06)</f>
        <v>5.3333333333312203E-3</v>
      </c>
      <c r="AP196" s="68">
        <f>IF($Z$3="yes", 0.000128000000000003/$X196, 0.000128000000000003)</f>
        <v>8.5333333333335329E-2</v>
      </c>
      <c r="AQ196" s="68">
        <f>IF($Z$3="yes", 0.00015514285714286/$X196, 0.00015514285714286)</f>
        <v>0.10342857142857334</v>
      </c>
      <c r="AR196" s="68">
        <f>IF($Z$3="yes", 0.000123000000000002/$X196, 0.000123000000000002)</f>
        <v>8.2000000000001322E-2</v>
      </c>
      <c r="AS196" s="68">
        <f>IF($Z$3="yes", 0.000128000000000001/$X196, 0.000128000000000001)</f>
        <v>8.5333333333333997E-2</v>
      </c>
      <c r="AT196" s="68">
        <f>IF($Z$3="yes", 0.0000220000000000017/$X196, 0.0000220000000000017)</f>
        <v>1.4666666666667799E-2</v>
      </c>
      <c r="AU196" s="88">
        <f>IF($Z$3="yes", 0.000158000000000002/$X196, 0.000158000000000002)</f>
        <v>0.10533333333333467</v>
      </c>
      <c r="AV196" s="88">
        <f>IF($Z$3="yes", 0.000185142857142859/$X196, 0.000185142857142859)</f>
        <v>0.12342857142857266</v>
      </c>
      <c r="AW196" s="88">
        <f>IF($Z$3="yes", 0.000153000000000001/$X196, 0.000153000000000001)</f>
        <v>0.10200000000000067</v>
      </c>
      <c r="AX196" s="88">
        <f>IF($Z$3="yes", 0.000106/$X196, 0.000106)</f>
        <v>7.0666666666666669E-2</v>
      </c>
      <c r="AY196" s="88">
        <f>IF($Z$3="yes", 0.000136/$X196, 0.000136)</f>
        <v>9.0666666666666659E-2</v>
      </c>
      <c r="AZ196" s="88">
        <f>IF($Z$3="yes", 0.000163142857142857/$X196, 0.000163142857142857)</f>
        <v>0.10876190476190467</v>
      </c>
      <c r="BA196" s="88">
        <f>IF($Z$3="yes", 0.000130999999999999/$X196, 0.000130999999999999)</f>
        <v>8.7333333333332666E-2</v>
      </c>
      <c r="BB196" s="88">
        <f>IF($Z$3="yes", 0.0000300000000000006/$X196, 0.0000300000000000006)</f>
        <v>2.0000000000000399E-2</v>
      </c>
      <c r="BC196" s="88">
        <f>IF($Z$3="yes", 0.0000571428571428573/$X196, 0.0000571428571428573)</f>
        <v>3.8095238095238196E-2</v>
      </c>
      <c r="BD196" s="88">
        <f>IF($Z$3="yes", 0.0000249999999999994/$X196, 0.0000249999999999994)</f>
        <v>1.6666666666666267E-2</v>
      </c>
      <c r="BE196" s="88">
        <f>IF($Z$3="yes", 0.0000271428571428567/$X196, 0.0000271428571428567)</f>
        <v>1.80952380952378E-2</v>
      </c>
      <c r="BF196" s="88">
        <f>IF($Z$3="yes", 0.0000050000000000012/$X196, 0.0000050000000000012)</f>
        <v>3.3333333333341333E-3</v>
      </c>
      <c r="BG196" s="88">
        <f>IF($Z$3="yes", 0.0000321428571428579/$X196, 0.0000321428571428579)</f>
        <v>2.1428571428571935E-2</v>
      </c>
      <c r="BH196" s="88">
        <f>IF($Z$3="yes", 0.00016452380952381/$X196, 0.00016452380952381)</f>
        <v>0.10968253968253999</v>
      </c>
      <c r="BI196" s="68"/>
      <c r="BJ196" s="68"/>
      <c r="BK196" s="68">
        <f>IF($BL$3="yes", MAX(0, (211288864 - 167821733.6) / 64236104.5623669), 167821733.6)</f>
        <v>167821733.59999999</v>
      </c>
      <c r="BL196" s="68">
        <f>IF($BL$3="yes", MAX(0, (211288864 - 143859677.5) / 61961351.0361169), 143859677.5)</f>
        <v>143859677.5</v>
      </c>
      <c r="BM196" s="68">
        <f>IF($BL$3="yes", MAX(0, (211288864 - 128511191.5) / 65855661.5956543), 128511191.5)</f>
        <v>128511191.5</v>
      </c>
      <c r="BN196" s="68">
        <f>IF($BL$3="yes", MAX(0, (211288864 - 219508866.68) / 231415404.082862), 219508866.68)</f>
        <v>219508866.68000001</v>
      </c>
      <c r="BO196" s="68">
        <f>IF($BL$3="yes", MAX(0, (211288864 - 173589021.43) / 205824085.061872), 173589021.43)</f>
        <v>173589021.43000001</v>
      </c>
      <c r="BP196" s="68">
        <f>IF($BL$3="yes", MAX(0, (211288864 - 125034353.165) / 175185517.659766), 125034353.165)</f>
        <v>125034353.16500001</v>
      </c>
      <c r="BQ196" s="68">
        <v>66.658850115178083</v>
      </c>
      <c r="BR196" s="68"/>
      <c r="BS196" s="68"/>
      <c r="BT196" s="68">
        <v>1503001955.338928</v>
      </c>
      <c r="BU196" s="68">
        <v>-96065948.361755133</v>
      </c>
      <c r="BV196" s="68">
        <f>IF($Z$3="yes", 0.000730042388757932/$X196, 0.000730042388757932)</f>
        <v>0.48669492583862128</v>
      </c>
      <c r="BW196" s="68">
        <f>IF($Z$3="yes", 0.000281454896891081/$X196, 0.000281454896891081)</f>
        <v>0.18763659792738732</v>
      </c>
      <c r="BX196" s="68">
        <f>$BW$159 - $BV$159</f>
        <v>0</v>
      </c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81"/>
      <c r="CR196" s="81"/>
      <c r="CS196" s="68"/>
      <c r="CT196" s="68"/>
      <c r="CU196" s="68"/>
    </row>
    <row r="197" spans="1:99" ht="15.75" customHeight="1" thickBot="1" x14ac:dyDescent="0.3">
      <c r="A197" s="84"/>
      <c r="B197" s="67" t="s">
        <v>181</v>
      </c>
      <c r="C197" s="83" t="s">
        <v>552</v>
      </c>
      <c r="D197" s="67" t="s">
        <v>395</v>
      </c>
      <c r="E197" s="67">
        <v>1</v>
      </c>
      <c r="F197" s="85">
        <v>4.5999999999999999E-3</v>
      </c>
      <c r="G197" s="313">
        <v>44236</v>
      </c>
      <c r="H197" s="317">
        <v>2.0999999999999999E-3</v>
      </c>
      <c r="I197" s="317">
        <v>9.7000000000000003E-3</v>
      </c>
      <c r="J197" s="313">
        <v>44244</v>
      </c>
      <c r="K197" s="125">
        <f t="shared" si="6"/>
        <v>-0.54347826086956519</v>
      </c>
      <c r="L197" s="209">
        <f t="shared" si="7"/>
        <v>1.1086956521739131</v>
      </c>
      <c r="M197" s="312">
        <v>44407</v>
      </c>
      <c r="N197" s="68"/>
      <c r="O197" s="68">
        <v>1903792512</v>
      </c>
      <c r="P197" s="68"/>
      <c r="Q197" s="68">
        <v>8</v>
      </c>
      <c r="R197" s="68"/>
      <c r="S197" s="68" t="s">
        <v>148</v>
      </c>
      <c r="T197" s="68"/>
      <c r="U197" s="68">
        <v>316</v>
      </c>
      <c r="V197" s="68">
        <v>171439425</v>
      </c>
      <c r="W197" s="68"/>
      <c r="X197" s="68">
        <v>5.7000000000000002E-3</v>
      </c>
      <c r="Y197" s="68">
        <v>7.662999999999952E-3</v>
      </c>
      <c r="Z197" s="68">
        <v>3.162000000000002E-3</v>
      </c>
      <c r="AA197" s="68">
        <v>3.3800000000000041E-3</v>
      </c>
      <c r="AB197" s="68">
        <v>2.9680000000000041E-3</v>
      </c>
      <c r="AC197" s="68">
        <v>3.8150000000000029E-3</v>
      </c>
      <c r="AD197" s="68">
        <v>4.1857142857142952E-3</v>
      </c>
      <c r="AE197" s="68">
        <v>4.1124999999999946E-3</v>
      </c>
      <c r="AF197" s="68">
        <f>IF($Z$3="yes", -0.0000895187879696958/$X197, -0.0000895187879696958)</f>
        <v>-1.5705050520999263E-2</v>
      </c>
      <c r="AG197" s="68">
        <f>IF($Z$3="yes", 6.62706270627049E-06/$X197, 6.62706270627049E-06)</f>
        <v>1.1626425800474545E-3</v>
      </c>
      <c r="AH197" s="68">
        <f>IF($Z$3="yes", 0.0000329411764705854/$X197, 0.0000329411764705854)</f>
        <v>5.779153766769368E-3</v>
      </c>
      <c r="AI197" s="68">
        <f>IF($Z$3="yes", 0.0000360528211284486/$X197, 0.0000360528211284486)</f>
        <v>6.3250563383243155E-3</v>
      </c>
      <c r="AJ197" s="68">
        <f>IF($Z$3="yes", 0.0000868421052631443/$X197, 0.0000868421052631443)</f>
        <v>1.5235457063709526E-2</v>
      </c>
      <c r="AK197" s="68">
        <f>IF($Z$3="yes", 0.0000184615384614622/$X197, 0.0000184615384614622)</f>
        <v>3.2388663967477544E-3</v>
      </c>
      <c r="AL197" s="68">
        <f>IF($Z$3="yes", 0.000208333333333385/$X197, 0.000208333333333385)</f>
        <v>3.6549707602348248E-2</v>
      </c>
      <c r="AM197" s="68">
        <f>IF($Z$3="yes", 0.00450099999999995/$X197, 0.00450099999999995)</f>
        <v>0.78964912280700883</v>
      </c>
      <c r="AN197" s="68">
        <f>IF($Z$3="yes", 0.00428299999999994/$X197, 0.00428299999999994)</f>
        <v>0.75140350877191919</v>
      </c>
      <c r="AO197" s="68">
        <f>IF($Z$3="yes", 0.00469499999999994/$X197, 0.00469499999999994)</f>
        <v>0.82368421052630514</v>
      </c>
      <c r="AP197" s="68">
        <f>IF($Z$3="yes", 0.00384799999999994/$X197, 0.00384799999999994)</f>
        <v>0.67508771929823508</v>
      </c>
      <c r="AQ197" s="68">
        <f>IF($Z$3="yes", 0.00347728571428565/$X197, 0.00347728571428565)</f>
        <v>0.61005012531327185</v>
      </c>
      <c r="AR197" s="68">
        <f>IF($Z$3="yes", 0.00355049999999995/$X197, 0.00355049999999995)</f>
        <v>0.62289473684209651</v>
      </c>
      <c r="AS197" s="68">
        <f>IF($Z$3="yes", 0.000218000000000002/$X197, 0.000218000000000002)</f>
        <v>3.8245614035088069E-2</v>
      </c>
      <c r="AT197" s="68">
        <f>IF($Z$3="yes", 0.000193999999999997/$X197, 0.000193999999999997)</f>
        <v>3.4035087719297717E-2</v>
      </c>
      <c r="AU197" s="88">
        <f>IF($Z$3="yes", 0.000653000000000001/$X197, 0.000653000000000001)</f>
        <v>0.1145614035087721</v>
      </c>
      <c r="AV197" s="88">
        <f>IF($Z$3="yes", 0.00102371428571429/$X197, 0.00102371428571429)</f>
        <v>0.17959899749373506</v>
      </c>
      <c r="AW197" s="88">
        <f>IF($Z$3="yes", 0.000950499999999993/$X197, 0.000950499999999993)</f>
        <v>0.16675438596491104</v>
      </c>
      <c r="AX197" s="88">
        <f>IF($Z$3="yes", 0.000411999999999999/$X197, 0.000411999999999999)</f>
        <v>7.2280701754385793E-2</v>
      </c>
      <c r="AY197" s="88">
        <f>IF($Z$3="yes", 0.000846999999999998/$X197, 0.000846999999999998)</f>
        <v>0.14859649122806984</v>
      </c>
      <c r="AZ197" s="88">
        <f>IF($Z$3="yes", 0.00121771428571429/$X197, 0.00121771428571429)</f>
        <v>0.21363408521303334</v>
      </c>
      <c r="BA197" s="88">
        <f>IF($Z$3="yes", 0.00114449999999999/$X197, 0.00114449999999999)</f>
        <v>0.20078947368420874</v>
      </c>
      <c r="BB197" s="88">
        <f>IF($Z$3="yes", 0.000434999999999999/$X197, 0.000434999999999999)</f>
        <v>7.6315789473684031E-2</v>
      </c>
      <c r="BC197" s="88">
        <f>IF($Z$3="yes", 0.000805714285714291/$X197, 0.000805714285714291)</f>
        <v>0.14135338345864754</v>
      </c>
      <c r="BD197" s="88">
        <f>IF($Z$3="yes", 0.00073249999999999/$X197, 0.00073249999999999)</f>
        <v>0.1285087719298228</v>
      </c>
      <c r="BE197" s="88">
        <f>IF($Z$3="yes", 0.000370714285714291/$X197, 0.000370714285714291)</f>
        <v>6.5037593984963338E-2</v>
      </c>
      <c r="BF197" s="88">
        <f>IF($Z$3="yes", 0.000297499999999991/$X197, 0.000297499999999991)</f>
        <v>5.2192982456138771E-2</v>
      </c>
      <c r="BG197" s="88">
        <f>IF($Z$3="yes", 0.0000732142857143005/$X197, 0.0000732142857143005)</f>
        <v>1.284461152882465E-2</v>
      </c>
      <c r="BH197" s="88">
        <f>IF($Z$3="yes", 0.00158305102040815/$X197, 0.00158305102040815)</f>
        <v>0.2777282491944123</v>
      </c>
      <c r="BI197" s="68"/>
      <c r="BJ197" s="68"/>
      <c r="BK197" s="68">
        <f>IF($BL$3="yes", MAX(0, (171439425 - 51390967.6) / 63020273.6866189), 51390967.6)</f>
        <v>51390967.600000001</v>
      </c>
      <c r="BL197" s="68">
        <f>IF($BL$3="yes", MAX(0, (171439425 - 31497547.2) / 49093475.257654), 31497547.2)</f>
        <v>31497547.199999999</v>
      </c>
      <c r="BM197" s="68">
        <f>IF($BL$3="yes", MAX(0, (171439425 - 33082882.8) / 37650660.5927984), 33082882.8)</f>
        <v>33082882.800000001</v>
      </c>
      <c r="BN197" s="68">
        <f>IF($BL$3="yes", MAX(0, (171439425 - 26049237.34) / 32924925.4283506), 26049237.34)</f>
        <v>26049237.34</v>
      </c>
      <c r="BO197" s="68">
        <f>IF($BL$3="yes", MAX(0, (171439425 - 20091922.67) / 26762646.0160964), 20091922.67)</f>
        <v>20091922.670000002</v>
      </c>
      <c r="BP197" s="68">
        <f>IF($BL$3="yes", MAX(0, (171439425 - 11739238.51) / 22182901.7987719), 11739238.51)</f>
        <v>11739238.51</v>
      </c>
      <c r="BQ197" s="68">
        <v>71.387997462107066</v>
      </c>
      <c r="BR197" s="68"/>
      <c r="BS197" s="68"/>
      <c r="BT197" s="68">
        <v>-224566645.25438759</v>
      </c>
      <c r="BU197" s="68">
        <v>25368289.357036348</v>
      </c>
      <c r="BV197" s="68">
        <f>IF($Z$3="yes", 0.000832016133825502/$X197, 0.000832016133825502)</f>
        <v>0.14596774277640384</v>
      </c>
      <c r="BW197" s="68">
        <f>IF($Z$3="yes", 0.000842247030906577/$X197, 0.000842247030906577)</f>
        <v>0.14776263700115386</v>
      </c>
      <c r="BX197" s="68">
        <f>$BW$160 - $BV$160</f>
        <v>0</v>
      </c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81"/>
      <c r="CR197" s="81"/>
      <c r="CS197" s="68"/>
      <c r="CT197" s="68"/>
      <c r="CU197" s="68"/>
    </row>
    <row r="198" spans="1:99" ht="15.75" customHeight="1" thickBot="1" x14ac:dyDescent="0.3">
      <c r="A198" s="84" t="s">
        <v>558</v>
      </c>
      <c r="B198" s="67" t="s">
        <v>181</v>
      </c>
      <c r="C198" s="83" t="s">
        <v>552</v>
      </c>
      <c r="D198" s="67" t="s">
        <v>559</v>
      </c>
      <c r="E198" s="67">
        <v>1</v>
      </c>
      <c r="F198" s="85">
        <v>3.0999999999999999E-3</v>
      </c>
      <c r="G198" s="313">
        <v>44236</v>
      </c>
      <c r="H198" s="85">
        <v>0</v>
      </c>
      <c r="I198" s="85"/>
      <c r="J198" s="67"/>
      <c r="K198" s="100">
        <f t="shared" ref="K198:K261" si="8">IF(AND(F198&lt;&gt;"",H198&lt;&gt;""), (H198/F198)-100%, "")</f>
        <v>-1</v>
      </c>
      <c r="L198" s="100" t="str">
        <f t="shared" ref="L198:L261" si="9">IF(AND(F198&lt;&gt;"",I198&lt;&gt;""), (I198/F198)-100%, "")</f>
        <v/>
      </c>
      <c r="M198" s="68"/>
      <c r="N198" s="68" t="s">
        <v>556</v>
      </c>
      <c r="O198" s="68">
        <v>1107885</v>
      </c>
      <c r="P198" s="68"/>
      <c r="Q198" s="68"/>
      <c r="R198" s="68"/>
      <c r="S198" s="68"/>
      <c r="T198" s="68"/>
      <c r="U198" s="68"/>
      <c r="V198" s="68"/>
      <c r="W198" s="68"/>
      <c r="X198" s="68">
        <v>3.0999999999999999E-3</v>
      </c>
      <c r="Y198" s="68">
        <v>1.3049999999999789E-3</v>
      </c>
      <c r="Z198" s="68">
        <v>9.5499999999999979E-4</v>
      </c>
      <c r="AA198" s="68">
        <v>1.2160000000000009E-3</v>
      </c>
      <c r="AB198" s="68">
        <v>8.8600000000000072E-4</v>
      </c>
      <c r="AC198" s="68">
        <v>1.7750000000000001E-3</v>
      </c>
      <c r="AD198" s="68">
        <v>2.0571428571428559E-3</v>
      </c>
      <c r="AE198" s="68">
        <v>2.350000000000001E-3</v>
      </c>
      <c r="AF198" s="68">
        <f>IF($Z$3="yes", -5.49343733593156E-06/$X198, -5.49343733593156E-06)</f>
        <v>-1.7720765599779228E-3</v>
      </c>
      <c r="AG198" s="68">
        <f>IF($Z$3="yes", 0.0000112685268526852/$X198, 0.0000112685268526852)</f>
        <v>3.6350086621565162E-3</v>
      </c>
      <c r="AH198" s="68">
        <f>IF($Z$3="yes", 0.0000336422569027606/$X198, 0.0000336422569027606)</f>
        <v>1.0852340936374388E-2</v>
      </c>
      <c r="AI198" s="68">
        <f>IF($Z$3="yes", 0.0000128835534213681/$X198, 0.0000128835534213681)</f>
        <v>4.1559849746348708E-3</v>
      </c>
      <c r="AJ198" s="68">
        <f>IF($Z$3="yes", 0.000106541353383461/$X198, 0.000106541353383461)</f>
        <v>3.4368178510793872E-2</v>
      </c>
      <c r="AK198" s="68">
        <f>IF($Z$3="yes", 0.00012659340659341/$X198, 0.00012659340659341)</f>
        <v>4.0836582772067739E-2</v>
      </c>
      <c r="AL198" s="68">
        <f>IF($Z$3="yes", 0.000226190476190488/$X198, 0.000226190476190488)</f>
        <v>7.2964669738867102E-2</v>
      </c>
      <c r="AM198" s="68">
        <f>IF($Z$3="yes", 0.000349999999999979/$X198, 0.000349999999999979)</f>
        <v>0.11290322580644485</v>
      </c>
      <c r="AN198" s="68">
        <f>IF($Z$3="yes", 0.0000889999999999786/$X198, 0.0000889999999999786)</f>
        <v>2.8709677419347934E-2</v>
      </c>
      <c r="AO198" s="68">
        <f>IF($Z$3="yes", 0.000418999999999978/$X198, 0.000418999999999978)</f>
        <v>0.13516129032257354</v>
      </c>
      <c r="AP198" s="68">
        <f>IF($Z$3="yes", 0.00047000000000002/$X198, 0.00047000000000002)</f>
        <v>0.15161290322581292</v>
      </c>
      <c r="AQ198" s="68">
        <f>IF($Z$3="yes", 0.000752142857142876/$X198, 0.000752142857142876)</f>
        <v>0.24262672811060518</v>
      </c>
      <c r="AR198" s="68">
        <f>IF($Z$3="yes", 0.00104500000000002/$X198, 0.00104500000000002)</f>
        <v>0.33709677419355488</v>
      </c>
      <c r="AS198" s="68">
        <f>IF($Z$3="yes", 0.000261/$X198, 0.000261)</f>
        <v>8.4193548387096778E-2</v>
      </c>
      <c r="AT198" s="68">
        <f>IF($Z$3="yes", 0.000068999999999999/$X198, 0.000068999999999999)</f>
        <v>2.2258064516128707E-2</v>
      </c>
      <c r="AU198" s="88">
        <f>IF($Z$3="yes", 0.000819999999999999/$X198, 0.000819999999999999)</f>
        <v>0.26451612903225774</v>
      </c>
      <c r="AV198" s="88">
        <f>IF($Z$3="yes", 0.00110214285714285/$X198, 0.00110214285714285)</f>
        <v>0.35552995391704839</v>
      </c>
      <c r="AW198" s="88">
        <f>IF($Z$3="yes", 0.001395/$X198, 0.001395)</f>
        <v>0.45</v>
      </c>
      <c r="AX198" s="88">
        <f>IF($Z$3="yes", 0.00033/$X198, 0.00033)</f>
        <v>0.10645161290322581</v>
      </c>
      <c r="AY198" s="88">
        <f>IF($Z$3="yes", 0.000888999999999999/$X198, 0.000888999999999999)</f>
        <v>0.28677419354838679</v>
      </c>
      <c r="AZ198" s="88">
        <f>IF($Z$3="yes", 0.00117114285714285/$X198, 0.00117114285714285)</f>
        <v>0.37778801843317744</v>
      </c>
      <c r="BA198" s="88">
        <f>IF($Z$3="yes", 0.00146399999999999/$X198, 0.00146399999999999)</f>
        <v>0.47225806451612584</v>
      </c>
      <c r="BB198" s="88">
        <f>IF($Z$3="yes", 0.000558999999999999/$X198, 0.000558999999999999)</f>
        <v>0.18032258064516096</v>
      </c>
      <c r="BC198" s="88">
        <f>IF($Z$3="yes", 0.000841142857142855/$X198, 0.000841142857142855)</f>
        <v>0.27133640552995325</v>
      </c>
      <c r="BD198" s="88">
        <f>IF($Z$3="yes", 0.00113399999999999/$X198, 0.00113399999999999)</f>
        <v>0.36580645161290004</v>
      </c>
      <c r="BE198" s="88">
        <f>IF($Z$3="yes", 0.000282142857142856/$X198, 0.000282142857142856)</f>
        <v>9.1013824884792274E-2</v>
      </c>
      <c r="BF198" s="88">
        <f>IF($Z$3="yes", 0.000575/$X198, 0.000575)</f>
        <v>0.18548387096774194</v>
      </c>
      <c r="BG198" s="88">
        <f>IF($Z$3="yes", 0.000292857142857144/$X198, 0.000292857142857144)</f>
        <v>9.4470046082949691E-2</v>
      </c>
      <c r="BH198" s="88">
        <f>IF($Z$3="yes", 0.000870414965986395/$X198, 0.000870414965986395)</f>
        <v>0.28077902128593385</v>
      </c>
      <c r="BI198" s="68"/>
      <c r="BJ198" s="68"/>
      <c r="BK198" s="68">
        <f>IF($BL$3="yes", MAX(0, (71211887 - 80047404) / 21132924.2541388), 80047404)</f>
        <v>80047404</v>
      </c>
      <c r="BL198" s="68">
        <f>IF($BL$3="yes", MAX(0, (71211887 - 84603486.9) / 42700120.2203363), 84603486.9)</f>
        <v>84603486.900000006</v>
      </c>
      <c r="BM198" s="68">
        <f>IF($BL$3="yes", MAX(0, (71211887 - 90876141.2) / 65732880.1919198), 90876141.2)</f>
        <v>90876141.200000003</v>
      </c>
      <c r="BN198" s="68">
        <f>IF($BL$3="yes", MAX(0, (71211887 - 78311457.52) / 80067632.2255882), 78311457.52)</f>
        <v>78311457.519999996</v>
      </c>
      <c r="BO198" s="68">
        <f>IF($BL$3="yes", MAX(0, (71211887 - 66992340.93) / 76299597.91149), 66992340.93)</f>
        <v>66992340.93</v>
      </c>
      <c r="BP198" s="68">
        <f>IF($BL$3="yes", MAX(0, (71211887 - 42131861.825) / 62845526.6444555), 42131861.825)</f>
        <v>42131861.825000003</v>
      </c>
      <c r="BQ198" s="68">
        <v>75.511191529007277</v>
      </c>
      <c r="BR198" s="68"/>
      <c r="BS198" s="68"/>
      <c r="BT198" s="68">
        <v>213497097.73982731</v>
      </c>
      <c r="BU198" s="68">
        <v>21599804.765871141</v>
      </c>
      <c r="BV198" s="68">
        <f>IF($Z$3="yes", 0.000504304674494595/$X198, 0.000504304674494595)</f>
        <v>0.16267892725632097</v>
      </c>
      <c r="BW198" s="68">
        <f>IF($Z$3="yes", 0.000279079291447634/$X198, 0.000279079291447634)</f>
        <v>9.0025577886333544E-2</v>
      </c>
      <c r="BX198" s="68">
        <f>$BW$161 - $BV$161</f>
        <v>0</v>
      </c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81"/>
      <c r="CR198" s="81"/>
      <c r="CS198" s="68"/>
      <c r="CT198" s="68"/>
      <c r="CU198" s="68"/>
    </row>
    <row r="199" spans="1:99" ht="15.75" customHeight="1" thickBot="1" x14ac:dyDescent="0.3">
      <c r="A199" s="84"/>
      <c r="B199" s="67" t="s">
        <v>181</v>
      </c>
      <c r="C199" s="83" t="s">
        <v>552</v>
      </c>
      <c r="D199" s="67" t="s">
        <v>560</v>
      </c>
      <c r="E199" s="67">
        <v>1</v>
      </c>
      <c r="F199" s="85">
        <v>6.0000000000000001E-3</v>
      </c>
      <c r="G199" s="313">
        <v>44236</v>
      </c>
      <c r="H199" s="317">
        <v>1.6400000000000001E-2</v>
      </c>
      <c r="I199" s="317">
        <v>1.9699999999999999E-2</v>
      </c>
      <c r="J199" s="313">
        <v>44279</v>
      </c>
      <c r="K199" s="127">
        <f t="shared" si="8"/>
        <v>1.7333333333333334</v>
      </c>
      <c r="L199" s="149">
        <f t="shared" si="9"/>
        <v>2.2833333333333332</v>
      </c>
      <c r="M199" s="312">
        <v>44407</v>
      </c>
      <c r="N199" s="68"/>
      <c r="O199" s="68">
        <v>1180525173</v>
      </c>
      <c r="P199" s="68"/>
      <c r="Q199" s="68">
        <v>43</v>
      </c>
      <c r="R199" s="68"/>
      <c r="S199" s="68" t="s">
        <v>135</v>
      </c>
      <c r="T199" s="68"/>
      <c r="U199" s="68">
        <v>92</v>
      </c>
      <c r="V199" s="68">
        <v>47102133</v>
      </c>
      <c r="W199" s="68"/>
      <c r="X199" s="68">
        <v>6.0000000000000001E-3</v>
      </c>
      <c r="Y199" s="68">
        <v>5.3480000000000081E-3</v>
      </c>
      <c r="Z199" s="68">
        <v>3.843000000000007E-3</v>
      </c>
      <c r="AA199" s="68">
        <v>4.0159999999999996E-3</v>
      </c>
      <c r="AB199" s="68">
        <v>3.5060000000000009E-3</v>
      </c>
      <c r="AC199" s="68">
        <v>4.8649999999999978E-3</v>
      </c>
      <c r="AD199" s="68">
        <v>5.1571428571428541E-3</v>
      </c>
      <c r="AE199" s="68">
        <v>5.349999999999998E-3</v>
      </c>
      <c r="AF199" s="68">
        <f>IF($Z$3="yes", -0.0000259990999775001/$X199, -0.0000259990999775001)</f>
        <v>-4.3331833295833502E-3</v>
      </c>
      <c r="AG199" s="68">
        <f>IF($Z$3="yes", 3.91299129912939E-06/$X199, 3.91299129912939E-06)</f>
        <v>6.5216521652156491E-4</v>
      </c>
      <c r="AH199" s="68">
        <f>IF($Z$3="yes", 0.0000544441776710678/$X199, 0.0000544441776710678)</f>
        <v>9.0740296118446331E-3</v>
      </c>
      <c r="AI199" s="68">
        <f>IF($Z$3="yes", 0.000040091236494597/$X199, 0.000040091236494597)</f>
        <v>6.6818727490994996E-3</v>
      </c>
      <c r="AJ199" s="68">
        <f>IF($Z$3="yes", 0.0000898496240601554/$X199, 0.0000898496240601554)</f>
        <v>1.4974937343359232E-2</v>
      </c>
      <c r="AK199" s="68">
        <f>IF($Z$3="yes", 0.0000782417582417451/$X199, 0.0000782417582417451)</f>
        <v>1.304029304029085E-2</v>
      </c>
      <c r="AL199" s="68">
        <f>IF($Z$3="yes", 0.0000904761904761421/$X199, 0.0000904761904761421)</f>
        <v>1.5079365079357015E-2</v>
      </c>
      <c r="AM199" s="68">
        <f>IF($Z$3="yes", 0.001505/$X199, 0.001505)</f>
        <v>0.25083333333333335</v>
      </c>
      <c r="AN199" s="68">
        <f>IF($Z$3="yes", 0.001332/$X199, 0.001332)</f>
        <v>0.222</v>
      </c>
      <c r="AO199" s="68">
        <f>IF($Z$3="yes", 0.001842/$X199, 0.001842)</f>
        <v>0.307</v>
      </c>
      <c r="AP199" s="68">
        <f>IF($Z$3="yes", 0.00048300000000001/$X199, 0.00048300000000001)</f>
        <v>8.0500000000001667E-2</v>
      </c>
      <c r="AQ199" s="68">
        <f>IF($Z$3="yes", 0.000190857142857154/$X199, 0.000190857142857154)</f>
        <v>3.1809523809525668E-2</v>
      </c>
      <c r="AR199" s="68">
        <f>IF($Z$3="yes", 1.99999999998985E-06/$X199, 1.99999999998985E-06)</f>
        <v>3.3333333333164164E-4</v>
      </c>
      <c r="AS199" s="68">
        <f>IF($Z$3="yes", 0.000172999999999993/$X199, 0.000172999999999993)</f>
        <v>2.8833333333332167E-2</v>
      </c>
      <c r="AT199" s="68">
        <f>IF($Z$3="yes", 0.000337000000000006/$X199, 0.000337000000000006)</f>
        <v>5.6166666666667669E-2</v>
      </c>
      <c r="AU199" s="88">
        <f>IF($Z$3="yes", 0.00102199999999999/$X199, 0.00102199999999999)</f>
        <v>0.17033333333333164</v>
      </c>
      <c r="AV199" s="88">
        <f>IF($Z$3="yes", 0.00131414285714284/$X199, 0.00131414285714284)</f>
        <v>0.21902380952380665</v>
      </c>
      <c r="AW199" s="88">
        <f>IF($Z$3="yes", 0.00150699999999999/$X199, 0.00150699999999999)</f>
        <v>0.25116666666666498</v>
      </c>
      <c r="AX199" s="88">
        <f>IF($Z$3="yes", 0.000509999999999999/$X199, 0.000509999999999999)</f>
        <v>8.4999999999999826E-2</v>
      </c>
      <c r="AY199" s="88">
        <f>IF($Z$3="yes", 0.00135899999999999/$X199, 0.00135899999999999)</f>
        <v>0.22649999999999831</v>
      </c>
      <c r="AZ199" s="88">
        <f>IF($Z$3="yes", 0.00165114285714285/$X199, 0.00165114285714285)</f>
        <v>0.27519047619047499</v>
      </c>
      <c r="BA199" s="88">
        <f>IF($Z$3="yes", 0.00184399999999999/$X199, 0.00184399999999999)</f>
        <v>0.30733333333333163</v>
      </c>
      <c r="BB199" s="88">
        <f>IF($Z$3="yes", 0.000848999999999997/$X199, 0.000848999999999997)</f>
        <v>0.14149999999999949</v>
      </c>
      <c r="BC199" s="88">
        <f>IF($Z$3="yes", 0.00114114285714285/$X199, 0.00114114285714285)</f>
        <v>0.19019047619047499</v>
      </c>
      <c r="BD199" s="88">
        <f>IF($Z$3="yes", 0.00133399999999999/$X199, 0.00133399999999999)</f>
        <v>0.22233333333333166</v>
      </c>
      <c r="BE199" s="88">
        <f>IF($Z$3="yes", 0.000292142857142856/$X199, 0.000292142857142856)</f>
        <v>4.8690476190475999E-2</v>
      </c>
      <c r="BF199" s="88">
        <f>IF($Z$3="yes", 0.000485/$X199, 0.000485)</f>
        <v>8.083333333333334E-2</v>
      </c>
      <c r="BG199" s="88">
        <f>IF($Z$3="yes", 0.000192857142857143/$X199, 0.000192857142857143)</f>
        <v>3.2142857142857167E-2</v>
      </c>
      <c r="BH199" s="88">
        <f>IF($Z$3="yes", 0.00128744897959183/$X199, 0.00128744897959183)</f>
        <v>0.21457482993197166</v>
      </c>
      <c r="BI199" s="68"/>
      <c r="BJ199" s="68"/>
      <c r="BK199" s="68">
        <f>IF($BL$3="yes", MAX(0, (47102133 - 15456078.8) / 16056403.529616), 15456078.8)</f>
        <v>15456078.800000001</v>
      </c>
      <c r="BL199" s="68">
        <f>IF($BL$3="yes", MAX(0, (47102133 - 10043970.3) / 12669425.4317867), 10043970.3)</f>
        <v>10043970.300000001</v>
      </c>
      <c r="BM199" s="68">
        <f>IF($BL$3="yes", MAX(0, (47102133 - 7777424.4) / 9817954.42838844), 7777424.4)</f>
        <v>7777424.4000000004</v>
      </c>
      <c r="BN199" s="68">
        <f>IF($BL$3="yes", MAX(0, (47102133 - 7033530.6) / 8096147.46002256), 7033530.6)</f>
        <v>7033530.5999999996</v>
      </c>
      <c r="BO199" s="68">
        <f>IF($BL$3="yes", MAX(0, (47102133 - 7210608.84) / 8558784.05561523), 7210608.84)</f>
        <v>7210608.8399999999</v>
      </c>
      <c r="BP199" s="68">
        <f>IF($BL$3="yes", MAX(0, (47102133 - 9174986.71) / 10524452.5147265), 9174986.71)</f>
        <v>9174986.7100000009</v>
      </c>
      <c r="BQ199" s="68">
        <v>67.481316337781934</v>
      </c>
      <c r="BR199" s="68"/>
      <c r="BS199" s="68"/>
      <c r="BT199" s="68">
        <v>20478803.036261421</v>
      </c>
      <c r="BU199" s="68">
        <v>7218665.9281890374</v>
      </c>
      <c r="BV199" s="68">
        <f>IF($Z$3="yes", 0.00077333131563545/$X199, 0.00077333131563545)</f>
        <v>0.12888855260590834</v>
      </c>
      <c r="BW199" s="68">
        <f>IF($Z$3="yes", 0.000629663593493716/$X199, 0.000629663593493716)</f>
        <v>0.10494393224895267</v>
      </c>
      <c r="BX199" s="68">
        <f>$BW$162 - $BV$162</f>
        <v>0</v>
      </c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81"/>
      <c r="CR199" s="81"/>
      <c r="CS199" s="68"/>
      <c r="CT199" s="68"/>
      <c r="CU199" s="68"/>
    </row>
    <row r="200" spans="1:99" ht="15.75" customHeight="1" thickBot="1" x14ac:dyDescent="0.3">
      <c r="A200" s="84"/>
      <c r="B200" s="67" t="s">
        <v>181</v>
      </c>
      <c r="C200" s="83" t="s">
        <v>552</v>
      </c>
      <c r="D200" s="67" t="s">
        <v>561</v>
      </c>
      <c r="E200" s="67">
        <v>1</v>
      </c>
      <c r="F200" s="85">
        <v>1.5E-3</v>
      </c>
      <c r="G200" s="313">
        <v>44236</v>
      </c>
      <c r="H200" s="317">
        <v>1E-4</v>
      </c>
      <c r="I200" s="317">
        <v>2.5000000000000001E-3</v>
      </c>
      <c r="J200" s="313">
        <v>44243</v>
      </c>
      <c r="K200" s="125">
        <f t="shared" si="8"/>
        <v>-0.93333333333333335</v>
      </c>
      <c r="L200" s="148">
        <f t="shared" si="9"/>
        <v>0.66666666666666674</v>
      </c>
      <c r="M200" s="312">
        <v>44407</v>
      </c>
      <c r="N200" s="68"/>
      <c r="O200" s="68">
        <v>1126502244</v>
      </c>
      <c r="P200" s="68"/>
      <c r="Q200" s="68">
        <v>7</v>
      </c>
      <c r="R200" s="68"/>
      <c r="S200" s="68" t="s">
        <v>148</v>
      </c>
      <c r="T200" s="68"/>
      <c r="U200" s="68">
        <v>104</v>
      </c>
      <c r="V200" s="68">
        <v>1345000</v>
      </c>
      <c r="W200" s="68"/>
      <c r="X200" s="68">
        <v>1.5E-3</v>
      </c>
      <c r="Y200" s="68">
        <v>5.38149999999998E-3</v>
      </c>
      <c r="Z200" s="68">
        <v>1.3270000000000009E-3</v>
      </c>
      <c r="AA200" s="68">
        <v>9.4200000000000262E-4</v>
      </c>
      <c r="AB200" s="68">
        <v>1.110000000000002E-3</v>
      </c>
      <c r="AC200" s="68">
        <v>9.0999999999999762E-4</v>
      </c>
      <c r="AD200" s="68">
        <v>9.2142857142857076E-4</v>
      </c>
      <c r="AE200" s="68">
        <v>9.1249999999999665E-4</v>
      </c>
      <c r="AF200" s="68">
        <f>IF($Z$3="yes", -0.000100446636165903/$X200, -0.000100446636165903)</f>
        <v>-6.6964424110601994E-2</v>
      </c>
      <c r="AG200" s="68">
        <f>IF($Z$3="yes", -9.51635163516362E-06/$X200, -9.51635163516362E-06)</f>
        <v>-6.3442344234424138E-3</v>
      </c>
      <c r="AH200" s="68">
        <f>IF($Z$3="yes", -2.88595438175385E-06/$X200, -2.88595438175385E-06)</f>
        <v>-1.9239695878358999E-3</v>
      </c>
      <c r="AI200" s="68">
        <f>IF($Z$3="yes", -0.0000164273709483803/$X200, -0.0000164273709483803)</f>
        <v>-1.0951580632253533E-2</v>
      </c>
      <c r="AJ200" s="68">
        <f>IF($Z$3="yes", 6.46616541353929E-06/$X200, 6.46616541353929E-06)</f>
        <v>4.310776942359526E-3</v>
      </c>
      <c r="AK200" s="68">
        <f>IF($Z$3="yes", 0.0000164835164835239/$X200, 0.0000164835164835239)</f>
        <v>1.0989010989015932E-2</v>
      </c>
      <c r="AL200" s="68">
        <f>IF($Z$3="yes", 0.000125000000000012/$X200, 0.000125000000000012)</f>
        <v>8.3333333333341336E-2</v>
      </c>
      <c r="AM200" s="68">
        <f>IF($Z$3="yes", 0.00405449999999997/$X200, 0.00405449999999997)</f>
        <v>2.7029999999999799</v>
      </c>
      <c r="AN200" s="68">
        <f>IF($Z$3="yes", 0.00443949999999997/$X200, 0.00443949999999997)</f>
        <v>2.9596666666666467</v>
      </c>
      <c r="AO200" s="68">
        <f>IF($Z$3="yes", 0.00427149999999997/$X200, 0.00427149999999997)</f>
        <v>2.8476666666666466</v>
      </c>
      <c r="AP200" s="68">
        <f>IF($Z$3="yes", 0.00447149999999998/$X200, 0.00447149999999998)</f>
        <v>2.9809999999999865</v>
      </c>
      <c r="AQ200" s="68">
        <f>IF($Z$3="yes", 0.00446007142857141/$X200, 0.00446007142857141)</f>
        <v>2.9733809523809396</v>
      </c>
      <c r="AR200" s="68">
        <f>IF($Z$3="yes", 0.00446899999999998/$X200, 0.00446899999999998)</f>
        <v>2.9793333333333201</v>
      </c>
      <c r="AS200" s="68">
        <f>IF($Z$3="yes", 0.000384999999999998/$X200, 0.000384999999999998)</f>
        <v>0.25666666666666532</v>
      </c>
      <c r="AT200" s="68">
        <f>IF($Z$3="yes", 0.000216999999999998/$X200, 0.000216999999999998)</f>
        <v>0.14466666666666533</v>
      </c>
      <c r="AU200" s="88">
        <f>IF($Z$3="yes", 0.000417000000000003/$X200, 0.000417000000000003)</f>
        <v>0.27800000000000197</v>
      </c>
      <c r="AV200" s="88">
        <f>IF($Z$3="yes", 0.00040557142857143/$X200, 0.00040557142857143)</f>
        <v>0.27038095238095333</v>
      </c>
      <c r="AW200" s="88">
        <f>IF($Z$3="yes", 0.000414500000000004/$X200, 0.000414500000000004)</f>
        <v>0.27633333333333598</v>
      </c>
      <c r="AX200" s="88">
        <f>IF($Z$3="yes", 0.000167999999999999/$X200, 0.000167999999999999)</f>
        <v>0.11199999999999932</v>
      </c>
      <c r="AY200" s="88">
        <f>IF($Z$3="yes", 0.000200000000000004/$X200, 0.000200000000000004)</f>
        <v>0.133333333333336</v>
      </c>
      <c r="AZ200" s="88">
        <f>IF($Z$3="yes", 0.000188571428571431/$X200, 0.000188571428571431)</f>
        <v>0.12571428571428733</v>
      </c>
      <c r="BA200" s="88">
        <f>IF($Z$3="yes", 0.000197500000000005/$X200, 0.000197500000000005)</f>
        <v>0.13166666666666998</v>
      </c>
      <c r="BB200" s="88">
        <f>IF($Z$3="yes", 0.000032000000000005/$X200, 0.000032000000000005)</f>
        <v>2.1333333333336667E-2</v>
      </c>
      <c r="BC200" s="88">
        <f>IF($Z$3="yes", 0.0000205714285714318/$X200, 0.0000205714285714318)</f>
        <v>1.3714285714287865E-2</v>
      </c>
      <c r="BD200" s="88">
        <f>IF($Z$3="yes", 0.0000295000000000059/$X200, 0.0000295000000000059)</f>
        <v>1.96666666666706E-2</v>
      </c>
      <c r="BE200" s="88">
        <f>IF($Z$3="yes", 0.0000114285714285731/$X200, 0.0000114285714285731)</f>
        <v>7.6190476190487327E-3</v>
      </c>
      <c r="BF200" s="88">
        <f>IF($Z$3="yes", 2.49999999999903E-06/$X200, 2.49999999999903E-06)</f>
        <v>1.6666666666660199E-3</v>
      </c>
      <c r="BG200" s="88">
        <f>IF($Z$3="yes", 8.92857142857411E-06/$X200, 8.92857142857411E-06)</f>
        <v>5.9523809523827397E-3</v>
      </c>
      <c r="BH200" s="88">
        <f>IF($Z$3="yes", 0.00105733673469387/$X200, 0.00105733673469387)</f>
        <v>0.70489115646258005</v>
      </c>
      <c r="BI200" s="68"/>
      <c r="BJ200" s="68"/>
      <c r="BK200" s="68">
        <f>IF($BL$3="yes", MAX(0, (1345000 - 1936462.2) / 2990642.70818032), 1936462.2)</f>
        <v>1936462.2</v>
      </c>
      <c r="BL200" s="68">
        <f>IF($BL$3="yes", MAX(0, (1345000 - 1145049.6) / 2266796.04094034), 1145049.6)</f>
        <v>1145049.6000000001</v>
      </c>
      <c r="BM200" s="68">
        <f>IF($BL$3="yes", MAX(0, (1345000 - 713463.7) / 1691747.11629348), 713463.7)</f>
        <v>713463.7</v>
      </c>
      <c r="BN200" s="68">
        <f>IF($BL$3="yes", MAX(0, (1345000 - 986693.52) / 1445516.12984574), 986693.52)</f>
        <v>986693.52</v>
      </c>
      <c r="BO200" s="68">
        <f>IF($BL$3="yes", MAX(0, (1345000 - 728850.91) / 1137347.74799205), 728850.91)</f>
        <v>728850.91</v>
      </c>
      <c r="BP200" s="68">
        <f>IF($BL$3="yes", MAX(0, (1345000 - 1585181.3) / 3523324.16748846), 1585181.3)</f>
        <v>1585181.3</v>
      </c>
      <c r="BQ200" s="68">
        <v>58.209370038425718</v>
      </c>
      <c r="BR200" s="68"/>
      <c r="BS200" s="68"/>
      <c r="BT200" s="68">
        <v>-759199.93944943883</v>
      </c>
      <c r="BU200" s="68">
        <v>1326669.785917578</v>
      </c>
      <c r="BV200" s="68">
        <f>IF($Z$3="yes", 0.000425266293932554/$X200, 0.000425266293932554)</f>
        <v>0.28351086262170266</v>
      </c>
      <c r="BW200" s="68">
        <f>IF($Z$3="yes", 0.000502330093476141/$X200, 0.000502330093476141)</f>
        <v>0.33488672898409405</v>
      </c>
      <c r="BX200" s="68">
        <f>$BW$163 - $BV$163</f>
        <v>0</v>
      </c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81"/>
      <c r="CR200" s="81"/>
      <c r="CS200" s="68"/>
      <c r="CT200" s="68"/>
      <c r="CU200" s="68"/>
    </row>
    <row r="201" spans="1:99" ht="15.75" customHeight="1" thickBot="1" x14ac:dyDescent="0.3">
      <c r="A201" s="84"/>
      <c r="B201" s="67" t="s">
        <v>181</v>
      </c>
      <c r="C201" s="83" t="s">
        <v>552</v>
      </c>
      <c r="D201" s="67" t="s">
        <v>562</v>
      </c>
      <c r="E201" s="67">
        <v>1</v>
      </c>
      <c r="F201" s="85">
        <v>1.0800000000000001E-2</v>
      </c>
      <c r="G201" s="313">
        <v>44236</v>
      </c>
      <c r="H201" s="317">
        <v>6.4999999999999997E-3</v>
      </c>
      <c r="I201" s="317">
        <v>0.06</v>
      </c>
      <c r="J201" s="313">
        <v>44245</v>
      </c>
      <c r="K201" s="125">
        <f t="shared" si="8"/>
        <v>-0.39814814814814825</v>
      </c>
      <c r="L201" s="149">
        <f t="shared" si="9"/>
        <v>4.5555555555555554</v>
      </c>
      <c r="M201" s="312">
        <v>44407</v>
      </c>
      <c r="N201" s="68"/>
      <c r="O201" s="68">
        <v>521083502</v>
      </c>
      <c r="P201" s="68"/>
      <c r="Q201" s="68">
        <v>9</v>
      </c>
      <c r="R201" s="68"/>
      <c r="S201" s="68" t="s">
        <v>148</v>
      </c>
      <c r="T201" s="68"/>
      <c r="U201" s="68">
        <v>260</v>
      </c>
      <c r="V201" s="68">
        <v>19824867</v>
      </c>
      <c r="W201" s="68"/>
      <c r="X201" s="68">
        <v>1.0800000000000001E-2</v>
      </c>
      <c r="Y201" s="68" t="e">
        <v>#N/A</v>
      </c>
      <c r="Z201" s="68">
        <v>6.2359999999999976E-3</v>
      </c>
      <c r="AA201" s="68">
        <v>6.6759999999999988E-3</v>
      </c>
      <c r="AB201" s="68">
        <v>6.2099999999999994E-3</v>
      </c>
      <c r="AC201" s="68">
        <v>7.9550000000000003E-3</v>
      </c>
      <c r="AD201" s="68">
        <v>8.5642857142857187E-3</v>
      </c>
      <c r="AE201" s="68">
        <v>8.2499999999999969E-3</v>
      </c>
      <c r="AF201" s="68" t="e">
        <f>IF($Z$3="yes", #N/A/$X201, #N/A)</f>
        <v>#N/A</v>
      </c>
      <c r="AG201" s="68">
        <f>IF($Z$3="yes", 0.0000305742574257429/$X201, 0.0000305742574257429)</f>
        <v>2.8309497616428613E-3</v>
      </c>
      <c r="AH201" s="68">
        <f>IF($Z$3="yes", 0.0000662953181272507/$X201, 0.0000662953181272507)</f>
        <v>6.1384553821528425E-3</v>
      </c>
      <c r="AI201" s="68">
        <f>IF($Z$3="yes", 0.0000250900360144058/$X201, 0.0000250900360144058)</f>
        <v>2.3231514828153518E-3</v>
      </c>
      <c r="AJ201" s="68">
        <f>IF($Z$3="yes", 0.00014503759398499/$X201, 0.00014503759398499)</f>
        <v>1.3429406850462037E-2</v>
      </c>
      <c r="AK201" s="68">
        <f>IF($Z$3="yes", -6.59340659377048E-07/$X201, -6.59340659377048E-07)</f>
        <v>-6.1050061053430371E-5</v>
      </c>
      <c r="AL201" s="68">
        <f>IF($Z$3="yes", 0.000288095238095383/$X201, 0.000288095238095383)</f>
        <v>2.667548500883176E-2</v>
      </c>
      <c r="AM201" s="68"/>
      <c r="AN201" s="68"/>
      <c r="AO201" s="68"/>
      <c r="AP201" s="68"/>
      <c r="AQ201" s="68"/>
      <c r="AR201" s="68"/>
      <c r="AS201" s="68">
        <f>IF($Z$3="yes", 0.00044/$X201, 0.00044)</f>
        <v>4.0740740740740737E-2</v>
      </c>
      <c r="AT201" s="68">
        <f>IF($Z$3="yes", 0.0000259999999999991/$X201, 0.0000259999999999991)</f>
        <v>2.4074074074073239E-3</v>
      </c>
      <c r="AU201" s="88">
        <f>IF($Z$3="yes", 0.001719/$X201, 0.001719)</f>
        <v>0.15916666666666665</v>
      </c>
      <c r="AV201" s="88">
        <f>IF($Z$3="yes", 0.00232828571428572/$X201, 0.00232828571428572)</f>
        <v>0.21558201058201107</v>
      </c>
      <c r="AW201" s="88">
        <f>IF($Z$3="yes", 0.00201399999999999/$X201, 0.00201399999999999)</f>
        <v>0.18648148148148055</v>
      </c>
      <c r="AX201" s="88">
        <f>IF($Z$3="yes", 0.000465999999999999/$X201, 0.000465999999999999)</f>
        <v>4.3148148148148054E-2</v>
      </c>
      <c r="AY201" s="88">
        <f>IF($Z$3="yes", 0.001745/$X201, 0.001745)</f>
        <v>0.16157407407407406</v>
      </c>
      <c r="AZ201" s="88">
        <f>IF($Z$3="yes", 0.00235428571428571/$X201, 0.00235428571428571)</f>
        <v>0.21798941798941757</v>
      </c>
      <c r="BA201" s="88">
        <f>IF($Z$3="yes", 0.00203999999999999/$X201, 0.00203999999999999)</f>
        <v>0.18888888888888797</v>
      </c>
      <c r="BB201" s="88">
        <f>IF($Z$3="yes", 0.001279/$X201, 0.001279)</f>
        <v>0.11842592592592592</v>
      </c>
      <c r="BC201" s="88">
        <f>IF($Z$3="yes", 0.00188828571428572/$X201, 0.00188828571428572)</f>
        <v>0.17484126984127035</v>
      </c>
      <c r="BD201" s="88">
        <f>IF($Z$3="yes", 0.00157399999999999/$X201, 0.00157399999999999)</f>
        <v>0.14574074074073981</v>
      </c>
      <c r="BE201" s="88">
        <f>IF($Z$3="yes", 0.000609285714285718/$X201, 0.000609285714285718)</f>
        <v>5.6415343915344258E-2</v>
      </c>
      <c r="BF201" s="88">
        <f>IF($Z$3="yes", 0.000294999999999996/$X201, 0.000294999999999996)</f>
        <v>2.7314814814814445E-2</v>
      </c>
      <c r="BG201" s="88">
        <f>IF($Z$3="yes", 0.000314285714285721/$X201, 0.000314285714285721)</f>
        <v>2.910052910052972E-2</v>
      </c>
      <c r="BH201" s="88">
        <f>IF($Z$3="yes", 0.00170984353741496/$X201, 0.00170984353741496)</f>
        <v>0.15831884605694072</v>
      </c>
      <c r="BI201" s="68"/>
      <c r="BJ201" s="68"/>
      <c r="BK201" s="68">
        <f>IF($BL$3="yes", MAX(0, (19824867 - 12566207.8) / 10264284.5965905), 12566207.8)</f>
        <v>12566207.800000001</v>
      </c>
      <c r="BL201" s="68">
        <f>IF($BL$3="yes", MAX(0, (19824867 - 8754176.9) / 8382490.86904957), 8754176.9)</f>
        <v>8754176.9000000004</v>
      </c>
      <c r="BM201" s="68">
        <f>IF($BL$3="yes", MAX(0, (19824867 - 11841953.55) / 10685053.1985152), 11841953.55)</f>
        <v>11841953.550000001</v>
      </c>
      <c r="BN201" s="68">
        <f>IF($BL$3="yes", MAX(0, (19824867 - 6921535.26) / 8642685.96558491), 6921535.26)</f>
        <v>6921535.2599999998</v>
      </c>
      <c r="BO201" s="68">
        <f>IF($BL$3="yes", MAX(0, (19824867 - 7227278.34) / 11745936.1128469), 7227278.34)</f>
        <v>7227278.3399999999</v>
      </c>
      <c r="BP201" s="68">
        <f>IF($BL$3="yes", MAX(0, (19824867 - 4090675.865) / 8932778.24718319), 4090675.865)</f>
        <v>4090675.8650000002</v>
      </c>
      <c r="BQ201" s="68">
        <v>65.842570876889113</v>
      </c>
      <c r="BR201" s="68"/>
      <c r="BS201" s="68"/>
      <c r="BT201" s="68">
        <v>-105532892.3599434</v>
      </c>
      <c r="BU201" s="68">
        <v>10183800.857704829</v>
      </c>
      <c r="BV201" s="68">
        <f>IF($Z$3="yes", 0.00167102901195561/$X201, 0.00167102901195561)</f>
        <v>0.15472490851440832</v>
      </c>
      <c r="BW201" s="68">
        <f>IF($Z$3="yes", 0.00145635018530207/$X201, 0.00145635018530207)</f>
        <v>0.13484723937982129</v>
      </c>
      <c r="BX201" s="68">
        <f>$BW$164 - $BV$164</f>
        <v>0</v>
      </c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81"/>
      <c r="CR201" s="81"/>
      <c r="CS201" s="68"/>
      <c r="CT201" s="68"/>
      <c r="CU201" s="68"/>
    </row>
    <row r="202" spans="1:99" ht="15.75" customHeight="1" thickBot="1" x14ac:dyDescent="0.3">
      <c r="A202" s="84"/>
      <c r="B202" s="67" t="s">
        <v>181</v>
      </c>
      <c r="C202" s="83" t="s">
        <v>552</v>
      </c>
      <c r="D202" s="67" t="s">
        <v>563</v>
      </c>
      <c r="E202" s="67">
        <v>1</v>
      </c>
      <c r="F202" s="85">
        <v>0.01</v>
      </c>
      <c r="G202" s="313">
        <v>44236</v>
      </c>
      <c r="H202" s="317">
        <v>1.01E-2</v>
      </c>
      <c r="I202" s="317">
        <v>1.15E-2</v>
      </c>
      <c r="J202" s="313">
        <v>44237</v>
      </c>
      <c r="K202" s="100">
        <f t="shared" si="8"/>
        <v>1.0000000000000009E-2</v>
      </c>
      <c r="L202" s="100">
        <f t="shared" si="9"/>
        <v>0.14999999999999991</v>
      </c>
      <c r="M202" s="312">
        <v>44407</v>
      </c>
      <c r="N202" s="68"/>
      <c r="O202" s="68">
        <v>268865425</v>
      </c>
      <c r="P202" s="68"/>
      <c r="Q202" s="68">
        <v>1</v>
      </c>
      <c r="R202" s="68"/>
      <c r="S202" s="68" t="s">
        <v>281</v>
      </c>
      <c r="T202" s="68"/>
      <c r="U202" s="68">
        <v>60</v>
      </c>
      <c r="V202" s="68">
        <v>19435459</v>
      </c>
      <c r="W202" s="68"/>
      <c r="X202" s="68">
        <v>0.01</v>
      </c>
      <c r="Y202" s="68">
        <v>4.3365000000001146E-3</v>
      </c>
      <c r="Z202" s="68">
        <v>2.3540000000000041E-3</v>
      </c>
      <c r="AA202" s="68">
        <v>2.5480000000000038E-3</v>
      </c>
      <c r="AB202" s="68">
        <v>1.858000000000004E-3</v>
      </c>
      <c r="AC202" s="68">
        <v>3.9949999999999968E-3</v>
      </c>
      <c r="AD202" s="68">
        <v>4.7857142857142846E-3</v>
      </c>
      <c r="AE202" s="68">
        <v>5.4125000000000024E-3</v>
      </c>
      <c r="AF202" s="68">
        <f>IF($Z$3="yes", -0.0000461593789844771/$X202, -0.0000461593789844771)</f>
        <v>-4.61593789844771E-3</v>
      </c>
      <c r="AG202" s="68">
        <f>IF($Z$3="yes", 0.000014655865586558/$X202, 0.000014655865586558)</f>
        <v>1.4655865586558001E-3</v>
      </c>
      <c r="AH202" s="68">
        <f>IF($Z$3="yes", 0.0000927923169267686/$X202, 0.0000927923169267686)</f>
        <v>9.2792316926768609E-3</v>
      </c>
      <c r="AI202" s="68">
        <f>IF($Z$3="yes", 0.0000251668667466967/$X202, 0.0000251668667466967)</f>
        <v>2.5166866746696697E-3</v>
      </c>
      <c r="AJ202" s="68">
        <f>IF($Z$3="yes", 0.00028263157894738/$X202, 0.00028263157894738)</f>
        <v>2.8263157894738E-2</v>
      </c>
      <c r="AK202" s="68">
        <f>IF($Z$3="yes", 0.000328791208791208/$X202, 0.000328791208791208)</f>
        <v>3.2879120879120802E-2</v>
      </c>
      <c r="AL202" s="68">
        <f>IF($Z$3="yes", 0.000808333333333312/$X202, 0.000808333333333312)</f>
        <v>8.0833333333331189E-2</v>
      </c>
      <c r="AM202" s="68">
        <f>IF($Z$3="yes", 0.00198250000000011/$X202, 0.00198250000000011)</f>
        <v>0.198250000000011</v>
      </c>
      <c r="AN202" s="68">
        <f>IF($Z$3="yes", 0.00178850000000011/$X202, 0.00178850000000011)</f>
        <v>0.178850000000011</v>
      </c>
      <c r="AO202" s="68">
        <f>IF($Z$3="yes", 0.00247850000000011/$X202, 0.00247850000000011)</f>
        <v>0.24785000000001098</v>
      </c>
      <c r="AP202" s="68">
        <f>IF($Z$3="yes", 0.000341500000000117/$X202, 0.000341500000000117)</f>
        <v>3.4150000000011699E-2</v>
      </c>
      <c r="AQ202" s="68">
        <f>IF($Z$3="yes", 0.00044921428571417/$X202, 0.00044921428571417)</f>
        <v>4.4921428571417003E-2</v>
      </c>
      <c r="AR202" s="68">
        <f>IF($Z$3="yes", 0.00107599999999988/$X202, 0.00107599999999988)</f>
        <v>0.107599999999988</v>
      </c>
      <c r="AS202" s="68">
        <f>IF($Z$3="yes", 0.000193999999999999/$X202, 0.000193999999999999)</f>
        <v>1.93999999999999E-2</v>
      </c>
      <c r="AT202" s="68">
        <f>IF($Z$3="yes", 0.000495999999999999/$X202, 0.000495999999999999)</f>
        <v>4.9599999999999901E-2</v>
      </c>
      <c r="AU202" s="88">
        <f>IF($Z$3="yes", 0.00164099999999999/$X202, 0.00164099999999999)</f>
        <v>0.164099999999999</v>
      </c>
      <c r="AV202" s="88">
        <f>IF($Z$3="yes", 0.00243171428571428/$X202, 0.00243171428571428)</f>
        <v>0.24317142857142801</v>
      </c>
      <c r="AW202" s="88">
        <f>IF($Z$3="yes", 0.00305849999999999/$X202, 0.00305849999999999)</f>
        <v>0.30584999999999901</v>
      </c>
      <c r="AX202" s="88">
        <f>IF($Z$3="yes", 0.000689999999999999/$X202, 0.000689999999999999)</f>
        <v>6.8999999999999895E-2</v>
      </c>
      <c r="AY202" s="88">
        <f>IF($Z$3="yes", 0.00213699999999999/$X202, 0.00213699999999999)</f>
        <v>0.213699999999999</v>
      </c>
      <c r="AZ202" s="88">
        <f>IF($Z$3="yes", 0.00292771428571428/$X202, 0.00292771428571428)</f>
        <v>0.29277142857142802</v>
      </c>
      <c r="BA202" s="88">
        <f>IF($Z$3="yes", 0.00355449999999999/$X202, 0.00355449999999999)</f>
        <v>0.35544999999999899</v>
      </c>
      <c r="BB202" s="88">
        <f>IF($Z$3="yes", 0.00144699999999999/$X202, 0.00144699999999999)</f>
        <v>0.144699999999999</v>
      </c>
      <c r="BC202" s="88">
        <f>IF($Z$3="yes", 0.00223771428571428/$X202, 0.00223771428571428)</f>
        <v>0.22377142857142798</v>
      </c>
      <c r="BD202" s="88">
        <f>IF($Z$3="yes", 0.00286449999999999/$X202, 0.00286449999999999)</f>
        <v>0.28644999999999898</v>
      </c>
      <c r="BE202" s="88">
        <f>IF($Z$3="yes", 0.000790714285714287/$X202, 0.000790714285714287)</f>
        <v>7.9071428571428695E-2</v>
      </c>
      <c r="BF202" s="88">
        <f>IF($Z$3="yes", 0.0014175/$X202, 0.0014175)</f>
        <v>0.14174999999999999</v>
      </c>
      <c r="BG202" s="88">
        <f>IF($Z$3="yes", 0.000626785714285717/$X202, 0.000626785714285717)</f>
        <v>6.2678571428571694E-2</v>
      </c>
      <c r="BH202" s="88">
        <f>IF($Z$3="yes", 0.00195514625850339/$X202, 0.00195514625850339)</f>
        <v>0.19551462585033902</v>
      </c>
      <c r="BI202" s="68"/>
      <c r="BJ202" s="68"/>
      <c r="BK202" s="68">
        <f>IF($BL$3="yes", MAX(0, (19435459 - 10682146.8) / 6519314.26189513), 10682146.8)</f>
        <v>10682146.800000001</v>
      </c>
      <c r="BL202" s="68">
        <f>IF($BL$3="yes", MAX(0, (19435459 - 9562520.2) / 6912918.24151221), 9562520.2)</f>
        <v>9562520.1999999993</v>
      </c>
      <c r="BM202" s="68">
        <f>IF($BL$3="yes", MAX(0, (19435459 - 9308362.25) / 6255980.44946879), 9308362.25)</f>
        <v>9308362.25</v>
      </c>
      <c r="BN202" s="68">
        <f>IF($BL$3="yes", MAX(0, (19435459 - 5808524.32) / 5343980.0365655), 5808524.32)</f>
        <v>5808524.3200000003</v>
      </c>
      <c r="BO202" s="68">
        <f>IF($BL$3="yes", MAX(0, (19435459 - 6368684.86) / 12590848.784296), 6368684.86)</f>
        <v>6368684.8600000003</v>
      </c>
      <c r="BP202" s="68">
        <f>IF($BL$3="yes", MAX(0, (19435459 - 8234299.435) / 14747465.6963621), 8234299.435)</f>
        <v>8234299.4349999996</v>
      </c>
      <c r="BQ202" s="68">
        <v>80.877612769426861</v>
      </c>
      <c r="BR202" s="68"/>
      <c r="BS202" s="68"/>
      <c r="BT202" s="68">
        <v>-78185248.734545335</v>
      </c>
      <c r="BU202" s="68">
        <v>1885285.4740055799</v>
      </c>
      <c r="BV202" s="68">
        <f>IF($Z$3="yes", 0.00144299480739588/$X202, 0.00144299480739588)</f>
        <v>0.14429948073958798</v>
      </c>
      <c r="BW202" s="68">
        <f>IF($Z$3="yes", 0.000501285494667238/$X202, 0.000501285494667238)</f>
        <v>5.01285494667238E-2</v>
      </c>
      <c r="BX202" s="68">
        <f>$BW$165 - $BV$165</f>
        <v>0</v>
      </c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81"/>
      <c r="CR202" s="81"/>
      <c r="CS202" s="68"/>
      <c r="CT202" s="68"/>
      <c r="CU202" s="68"/>
    </row>
    <row r="203" spans="1:99" ht="15.75" customHeight="1" thickBot="1" x14ac:dyDescent="0.3">
      <c r="A203" s="84"/>
      <c r="B203" s="67" t="s">
        <v>181</v>
      </c>
      <c r="C203" s="83" t="s">
        <v>552</v>
      </c>
      <c r="D203" s="67" t="s">
        <v>564</v>
      </c>
      <c r="E203" s="67">
        <v>1</v>
      </c>
      <c r="F203" s="85">
        <v>2.5999999999999999E-3</v>
      </c>
      <c r="G203" s="313">
        <v>44236</v>
      </c>
      <c r="H203" s="317">
        <v>2.3E-3</v>
      </c>
      <c r="I203" s="317">
        <v>6.6E-3</v>
      </c>
      <c r="J203" s="313">
        <v>44252</v>
      </c>
      <c r="K203" s="167">
        <f t="shared" si="8"/>
        <v>-0.11538461538461531</v>
      </c>
      <c r="L203" s="210">
        <f t="shared" si="9"/>
        <v>1.5384615384615388</v>
      </c>
      <c r="M203" s="312">
        <v>44407</v>
      </c>
      <c r="N203" s="68"/>
      <c r="O203" s="68">
        <v>1260180555</v>
      </c>
      <c r="P203" s="68"/>
      <c r="Q203" s="68">
        <v>16</v>
      </c>
      <c r="R203" s="68"/>
      <c r="S203" s="68"/>
      <c r="T203" s="68"/>
      <c r="U203" s="68">
        <v>284</v>
      </c>
      <c r="V203" s="68">
        <v>99341779</v>
      </c>
      <c r="W203" s="68"/>
      <c r="X203" s="68">
        <v>2.5999999999999999E-3</v>
      </c>
      <c r="Y203" s="68">
        <v>1.464000000000002E-3</v>
      </c>
      <c r="Z203" s="68">
        <v>1.4790000000000031E-3</v>
      </c>
      <c r="AA203" s="68">
        <v>1.3040000000000031E-3</v>
      </c>
      <c r="AB203" s="68">
        <v>1.204000000000003E-3</v>
      </c>
      <c r="AC203" s="68">
        <v>1.614999999999999E-3</v>
      </c>
      <c r="AD203" s="68">
        <v>1.74285714285714E-3</v>
      </c>
      <c r="AE203" s="68">
        <v>1.7624999999999991E-3</v>
      </c>
      <c r="AF203" s="68">
        <f>IF($Z$3="yes", 3.85614640365998E-06/$X203, 3.85614640365998E-06)</f>
        <v>1.4831332321769155E-3</v>
      </c>
      <c r="AG203" s="68">
        <f>IF($Z$3="yes", -6.87728772877321E-06/$X203, -6.87728772877321E-06)</f>
        <v>-2.6451106649127733E-3</v>
      </c>
      <c r="AH203" s="68">
        <f>IF($Z$3="yes", 0.0000173733493397355/$X203, 0.0000173733493397355)</f>
        <v>6.6820574383598076E-3</v>
      </c>
      <c r="AI203" s="68">
        <f>IF($Z$3="yes", 6.52100840336111E-06/$X203, 6.52100840336111E-06)</f>
        <v>2.5080801551388885E-3</v>
      </c>
      <c r="AJ203" s="68">
        <f>IF($Z$3="yes", 0.0000393233082706752/$X203, 0.0000393233082706752)</f>
        <v>1.5124349334875076E-2</v>
      </c>
      <c r="AK203" s="68">
        <f>IF($Z$3="yes", 0.0000329670329670403/$X203, 0.0000329670329670403)</f>
        <v>1.2679628064246272E-2</v>
      </c>
      <c r="AL203" s="68">
        <f>IF($Z$3="yes", 0.000179761904761922/$X203, 0.000179761904761922)</f>
        <v>6.9139194139200777E-2</v>
      </c>
      <c r="AM203" s="68">
        <f>IF($Z$3="yes", 0.0000150000000000011/$X203, 0.0000150000000000011)</f>
        <v>5.7692307692311928E-3</v>
      </c>
      <c r="AN203" s="68">
        <f>IF($Z$3="yes", 0.000159999999999998/$X203, 0.000159999999999998)</f>
        <v>6.1538461538460772E-2</v>
      </c>
      <c r="AO203" s="68">
        <f>IF($Z$3="yes", 0.000259999999999998/$X203, 0.000259999999999998)</f>
        <v>9.9999999999999242E-2</v>
      </c>
      <c r="AP203" s="68">
        <f>IF($Z$3="yes", 0.000150999999999997/$X203, 0.000150999999999997)</f>
        <v>5.807692307692193E-2</v>
      </c>
      <c r="AQ203" s="68">
        <f>IF($Z$3="yes", 0.000278857142857138/$X203, 0.000278857142857138)</f>
        <v>0.10725274725274539</v>
      </c>
      <c r="AR203" s="68">
        <f>IF($Z$3="yes", 0.000298499999999997/$X203, 0.000298499999999997)</f>
        <v>0.11480769230769117</v>
      </c>
      <c r="AS203" s="68">
        <f>IF($Z$3="yes", 0.000175/$X203, 0.000175)</f>
        <v>6.7307692307692304E-2</v>
      </c>
      <c r="AT203" s="68">
        <f>IF($Z$3="yes", 0.000274999999999999/$X203, 0.000274999999999999)</f>
        <v>0.10576923076923038</v>
      </c>
      <c r="AU203" s="88">
        <f>IF($Z$3="yes", 0.000135999999999996/$X203, 0.000135999999999996)</f>
        <v>5.2307692307690765E-2</v>
      </c>
      <c r="AV203" s="88">
        <f>IF($Z$3="yes", 0.000263857142857137/$X203, 0.000263857142857137)</f>
        <v>0.10148351648351425</v>
      </c>
      <c r="AW203" s="88">
        <f>IF($Z$3="yes", 0.000283499999999996/$X203, 0.000283499999999996)</f>
        <v>0.10903846153846</v>
      </c>
      <c r="AX203" s="88">
        <f>IF($Z$3="yes", 0.0000999999999999998/$X203, 0.0000999999999999998)</f>
        <v>3.8461538461538387E-2</v>
      </c>
      <c r="AY203" s="88">
        <f>IF($Z$3="yes", 0.000410999999999996/$X203, 0.000410999999999996)</f>
        <v>0.15807692307692156</v>
      </c>
      <c r="AZ203" s="88">
        <f>IF($Z$3="yes", 0.000538857142857136/$X203, 0.000538857142857136)</f>
        <v>0.20725274725274462</v>
      </c>
      <c r="BA203" s="88">
        <f>IF($Z$3="yes", 0.000558499999999996/$X203, 0.000558499999999996)</f>
        <v>0.21480769230769076</v>
      </c>
      <c r="BB203" s="88">
        <f>IF($Z$3="yes", 0.000310999999999996/$X203, 0.000310999999999996)</f>
        <v>0.11961538461538308</v>
      </c>
      <c r="BC203" s="88">
        <f>IF($Z$3="yes", 0.000438857142857137/$X203, 0.000438857142857137)</f>
        <v>0.16879120879120654</v>
      </c>
      <c r="BD203" s="88">
        <f>IF($Z$3="yes", 0.000458499999999996/$X203, 0.000458499999999996)</f>
        <v>0.17634615384615232</v>
      </c>
      <c r="BE203" s="88">
        <f>IF($Z$3="yes", 0.00012785714285714/$X203, 0.00012785714285714)</f>
        <v>4.9175824175823085E-2</v>
      </c>
      <c r="BF203" s="88">
        <f>IF($Z$3="yes", 0.0001475/$X203, 0.0001475)</f>
        <v>5.6730769230769237E-2</v>
      </c>
      <c r="BG203" s="88">
        <f>IF($Z$3="yes", 0.0000196428571428591/$X203, 0.0000196428571428591)</f>
        <v>7.5549450549458079E-3</v>
      </c>
      <c r="BH203" s="88">
        <f>IF($Z$3="yes", 0.000416132653061221/$X203, 0.000416132653061221)</f>
        <v>0.16005102040816191</v>
      </c>
      <c r="BI203" s="68"/>
      <c r="BJ203" s="68"/>
      <c r="BK203" s="68">
        <f>IF($BL$3="yes", MAX(0, (99341779 - 78057918) / 46672759.7271752), 78057918)</f>
        <v>78057918</v>
      </c>
      <c r="BL203" s="68">
        <f>IF($BL$3="yes", MAX(0, (99341779 - 56500670.6) / 40016067.8576946), 56500670.6)</f>
        <v>56500670.600000001</v>
      </c>
      <c r="BM203" s="68">
        <f>IF($BL$3="yes", MAX(0, (99341779 - 52426309.75) / 42706056.6435271), 52426309.75)</f>
        <v>52426309.75</v>
      </c>
      <c r="BN203" s="68">
        <f>IF($BL$3="yes", MAX(0, (99341779 - 41683302.26) / 37475582.9796924), 41683302.26)</f>
        <v>41683302.259999998</v>
      </c>
      <c r="BO203" s="68">
        <f>IF($BL$3="yes", MAX(0, (99341779 - 33231901.5) / 30404442.5637781), 33231901.5)</f>
        <v>33231901.5</v>
      </c>
      <c r="BP203" s="68">
        <f>IF($BL$3="yes", MAX(0, (99341779 - 42678785.635) / 56916330.3096582), 42678785.635)</f>
        <v>42678785.634999998</v>
      </c>
      <c r="BQ203" s="68">
        <v>75.460830106052128</v>
      </c>
      <c r="BR203" s="68"/>
      <c r="BS203" s="68"/>
      <c r="BT203" s="68">
        <v>343479827.47112632</v>
      </c>
      <c r="BU203" s="68">
        <v>33064443.674561258</v>
      </c>
      <c r="BV203" s="68">
        <f>IF($Z$3="yes", 0.000440114373705191/$X203, 0.000440114373705191)</f>
        <v>0.16927475911738116</v>
      </c>
      <c r="BW203" s="68">
        <f>IF($Z$3="yes", 0.000279749109891976/$X203, 0.000279749109891976)</f>
        <v>0.10759581149691384</v>
      </c>
      <c r="BX203" s="68">
        <f>$BW$166 - $BV$166</f>
        <v>0</v>
      </c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81"/>
      <c r="CR203" s="81"/>
      <c r="CS203" s="68"/>
      <c r="CT203" s="68"/>
      <c r="CU203" s="68"/>
    </row>
    <row r="204" spans="1:99" ht="15.75" customHeight="1" thickBot="1" x14ac:dyDescent="0.3">
      <c r="A204" s="84"/>
      <c r="B204" s="67" t="s">
        <v>181</v>
      </c>
      <c r="C204" s="83" t="s">
        <v>552</v>
      </c>
      <c r="D204" s="67" t="s">
        <v>565</v>
      </c>
      <c r="E204" s="67">
        <v>1</v>
      </c>
      <c r="F204" s="85">
        <v>1.8E-3</v>
      </c>
      <c r="G204" s="313">
        <v>44236</v>
      </c>
      <c r="H204" s="317">
        <v>3.5999999999999999E-3</v>
      </c>
      <c r="I204" s="317">
        <v>5.1000000000000004E-3</v>
      </c>
      <c r="J204" s="313">
        <v>44376</v>
      </c>
      <c r="K204" s="211">
        <f t="shared" si="8"/>
        <v>1</v>
      </c>
      <c r="L204" s="212">
        <f t="shared" si="9"/>
        <v>1.8333333333333335</v>
      </c>
      <c r="M204" s="312">
        <v>44407</v>
      </c>
      <c r="N204" s="68"/>
      <c r="O204" s="68">
        <v>2287563320</v>
      </c>
      <c r="P204" s="68"/>
      <c r="Q204" s="68">
        <v>140</v>
      </c>
      <c r="R204" s="68"/>
      <c r="S204" s="68" t="s">
        <v>135</v>
      </c>
      <c r="T204" s="68"/>
      <c r="U204" s="68">
        <v>88</v>
      </c>
      <c r="V204" s="68">
        <v>12342443</v>
      </c>
      <c r="W204" s="68"/>
      <c r="X204" s="68">
        <v>1.8E-3</v>
      </c>
      <c r="Y204" s="68">
        <v>6.9149999999984361E-4</v>
      </c>
      <c r="Z204" s="68">
        <v>6.2900000000000011E-4</v>
      </c>
      <c r="AA204" s="68">
        <v>7.3200000000000088E-4</v>
      </c>
      <c r="AB204" s="68">
        <v>5.6600000000000053E-4</v>
      </c>
      <c r="AC204" s="68">
        <v>1.0499999999999999E-3</v>
      </c>
      <c r="AD204" s="68">
        <v>1.185714285714286E-3</v>
      </c>
      <c r="AE204" s="68">
        <v>1.2999999999999999E-3</v>
      </c>
      <c r="AF204" s="68">
        <f>IF($Z$3="yes", -1.20910522761533E-06/$X204, -1.20910522761533E-06)</f>
        <v>-6.7172512645296114E-4</v>
      </c>
      <c r="AG204" s="68">
        <f>IF($Z$3="yes", 4.99429942994296E-06/$X204, 4.99429942994296E-06)</f>
        <v>2.7746107944127559E-3</v>
      </c>
      <c r="AH204" s="68">
        <f>IF($Z$3="yes", 0.0000185450180072028/$X204, 0.0000185450180072028)</f>
        <v>1.0302787781779335E-2</v>
      </c>
      <c r="AI204" s="68">
        <f>IF($Z$3="yes", 7.90876350540217E-06/$X204, 7.90876350540217E-06)</f>
        <v>4.3937575030012048E-3</v>
      </c>
      <c r="AJ204" s="68">
        <f>IF($Z$3="yes", 0.0000512781954887213/$X204, 0.0000512781954887213)</f>
        <v>2.8487886382622944E-2</v>
      </c>
      <c r="AK204" s="68">
        <f>IF($Z$3="yes", 0.0000602197802197841/$X204, 0.0000602197802197841)</f>
        <v>3.3455433455435613E-2</v>
      </c>
      <c r="AL204" s="68">
        <f>IF($Z$3="yes", 0.000142857142857135/$X204, 0.000142857142857135)</f>
        <v>7.9365079365075003E-2</v>
      </c>
      <c r="AM204" s="68">
        <f>IF($Z$3="yes", 0.0000624999999998435/$X204, 0.0000624999999998435)</f>
        <v>3.4722222222135279E-2</v>
      </c>
      <c r="AN204" s="68">
        <f>IF($Z$3="yes", 0.0000405000000001572/$X204, 0.0000405000000001572)</f>
        <v>2.2500000000087332E-2</v>
      </c>
      <c r="AO204" s="68">
        <f>IF($Z$3="yes", 0.000125499999999843/$X204, 0.000125499999999843)</f>
        <v>6.9722222222135005E-2</v>
      </c>
      <c r="AP204" s="68">
        <f>IF($Z$3="yes", 0.000358500000000156/$X204, 0.000358500000000156)</f>
        <v>0.19916666666675334</v>
      </c>
      <c r="AQ204" s="68">
        <f>IF($Z$3="yes", 0.000494214285714442/$X204, 0.000494214285714442)</f>
        <v>0.27456349206357888</v>
      </c>
      <c r="AR204" s="68">
        <f>IF($Z$3="yes", 0.000608500000000156/$X204, 0.000608500000000156)</f>
        <v>0.33805555555564226</v>
      </c>
      <c r="AS204" s="68">
        <f>IF($Z$3="yes", 0.000103/$X204, 0.000103)</f>
        <v>5.7222222222222223E-2</v>
      </c>
      <c r="AT204" s="68">
        <f>IF($Z$3="yes", 0.0000629999999999995/$X204, 0.0000629999999999995)</f>
        <v>3.4999999999999726E-2</v>
      </c>
      <c r="AU204" s="88">
        <f>IF($Z$3="yes", 0.000420999999999999/$X204, 0.000420999999999999)</f>
        <v>0.23388888888888834</v>
      </c>
      <c r="AV204" s="88">
        <f>IF($Z$3="yes", 0.000556714285714285/$X204, 0.000556714285714285)</f>
        <v>0.30928571428571389</v>
      </c>
      <c r="AW204" s="88">
        <f>IF($Z$3="yes", 0.000670999999999999/$X204, 0.000670999999999999)</f>
        <v>0.37277777777777721</v>
      </c>
      <c r="AX204" s="88">
        <f>IF($Z$3="yes", 0.000166/$X204, 0.000166)</f>
        <v>9.2222222222222219E-2</v>
      </c>
      <c r="AY204" s="88">
        <f>IF($Z$3="yes", 0.000483999999999999/$X204, 0.000483999999999999)</f>
        <v>0.26888888888888834</v>
      </c>
      <c r="AZ204" s="88">
        <f>IF($Z$3="yes", 0.000619714285714285/$X204, 0.000619714285714285)</f>
        <v>0.34428571428571386</v>
      </c>
      <c r="BA204" s="88">
        <f>IF($Z$3="yes", 0.000733999999999999/$X204, 0.000733999999999999)</f>
        <v>0.40777777777777724</v>
      </c>
      <c r="BB204" s="88">
        <f>IF($Z$3="yes", 0.000317999999999999/$X204, 0.000317999999999999)</f>
        <v>0.17666666666666611</v>
      </c>
      <c r="BC204" s="88">
        <f>IF($Z$3="yes", 0.000453714285714284/$X204, 0.000453714285714284)</f>
        <v>0.2520634920634911</v>
      </c>
      <c r="BD204" s="88">
        <f>IF($Z$3="yes", 0.000567999999999999/$X204, 0.000567999999999999)</f>
        <v>0.31555555555555498</v>
      </c>
      <c r="BE204" s="88">
        <f>IF($Z$3="yes", 0.000135714285714285/$X204, 0.000135714285714285)</f>
        <v>7.539682539682499E-2</v>
      </c>
      <c r="BF204" s="88">
        <f>IF($Z$3="yes", 0.00025/$X204, 0.00025)</f>
        <v>0.1388888888888889</v>
      </c>
      <c r="BG204" s="88">
        <f>IF($Z$3="yes", 0.000114285714285714/$X204, 0.000114285714285714)</f>
        <v>6.3492063492063336E-2</v>
      </c>
      <c r="BH204" s="88">
        <f>IF($Z$3="yes", 0.000463360544217701/$X204, 0.000463360544217701)</f>
        <v>0.25742252456538944</v>
      </c>
      <c r="BI204" s="68"/>
      <c r="BJ204" s="68"/>
      <c r="BK204" s="68">
        <f>IF($BL$3="yes", MAX(0, (12342443 - 13793278.6) / 6082469.25262767), 13793278.6)</f>
        <v>13793278.6</v>
      </c>
      <c r="BL204" s="68">
        <f>IF($BL$3="yes", MAX(0, (12342443 - 13262167.8) / 6878677.94034008), 13262167.8)</f>
        <v>13262167.800000001</v>
      </c>
      <c r="BM204" s="68">
        <f>IF($BL$3="yes", MAX(0, (12342443 - 14261566.85) / 14843499.7669384), 14261566.85)</f>
        <v>14261566.85</v>
      </c>
      <c r="BN204" s="68">
        <f>IF($BL$3="yes", MAX(0, (12342443 - 10280293.42) / 13475399.892984), 10280293.42)</f>
        <v>10280293.42</v>
      </c>
      <c r="BO204" s="68">
        <f>IF($BL$3="yes", MAX(0, (12342443 - 8046323.58) / 11639922.744575), 8046323.58)</f>
        <v>8046323.5800000001</v>
      </c>
      <c r="BP204" s="68">
        <f>IF($BL$3="yes", MAX(0, (12342443 - 14339128.55) / 24346517.9845972), 14339128.55)</f>
        <v>14339128.550000001</v>
      </c>
      <c r="BQ204" s="68">
        <v>72.350682734584069</v>
      </c>
      <c r="BR204" s="68"/>
      <c r="BS204" s="68"/>
      <c r="BT204" s="68">
        <v>126126869.6666666</v>
      </c>
      <c r="BU204" s="68">
        <v>6063393.8842553198</v>
      </c>
      <c r="BV204" s="68">
        <f>IF($Z$3="yes", 0.00030383305707273/$X204, 0.00030383305707273)</f>
        <v>0.16879614281818334</v>
      </c>
      <c r="BW204" s="68">
        <f>IF($Z$3="yes", 0.000159429733157147/$X204, 0.000159429733157147)</f>
        <v>8.8572073976192781E-2</v>
      </c>
      <c r="BX204" s="68">
        <f>$BW$167 - $BV$167</f>
        <v>-1.9721404913321444E-2</v>
      </c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81"/>
      <c r="CR204" s="81"/>
      <c r="CS204" s="68"/>
      <c r="CT204" s="68"/>
      <c r="CU204" s="68"/>
    </row>
    <row r="205" spans="1:99" ht="15.75" customHeight="1" thickBot="1" x14ac:dyDescent="0.3">
      <c r="A205" s="84" t="s">
        <v>566</v>
      </c>
      <c r="B205" s="67" t="s">
        <v>181</v>
      </c>
      <c r="C205" s="83" t="s">
        <v>552</v>
      </c>
      <c r="D205" s="67" t="s">
        <v>567</v>
      </c>
      <c r="E205" s="67">
        <v>1</v>
      </c>
      <c r="F205" s="85">
        <v>3.8E-3</v>
      </c>
      <c r="G205" s="313">
        <v>44236</v>
      </c>
      <c r="H205" s="317">
        <v>2E-3</v>
      </c>
      <c r="I205" s="85">
        <v>0.01</v>
      </c>
      <c r="J205" s="313">
        <v>44244</v>
      </c>
      <c r="K205" s="125">
        <f t="shared" si="8"/>
        <v>-0.47368421052631582</v>
      </c>
      <c r="L205" s="213">
        <f t="shared" si="9"/>
        <v>1.6315789473684212</v>
      </c>
      <c r="M205" s="312">
        <v>44407</v>
      </c>
      <c r="N205" s="68"/>
      <c r="O205" s="68">
        <v>4124247703</v>
      </c>
      <c r="P205" s="68"/>
      <c r="Q205" s="68">
        <v>8</v>
      </c>
      <c r="R205" s="68"/>
      <c r="S205" s="68" t="s">
        <v>192</v>
      </c>
      <c r="T205" s="68"/>
      <c r="U205" s="68">
        <v>388</v>
      </c>
      <c r="V205" s="68">
        <v>83739325</v>
      </c>
      <c r="W205" s="68"/>
      <c r="X205" s="68">
        <v>5.3E-3</v>
      </c>
      <c r="Y205" s="68">
        <v>2.0694999999999971E-3</v>
      </c>
      <c r="Z205" s="68">
        <v>1.728999999999999E-3</v>
      </c>
      <c r="AA205" s="68">
        <v>2.1740000000000002E-3</v>
      </c>
      <c r="AB205" s="68">
        <v>1.8860000000000001E-3</v>
      </c>
      <c r="AC205" s="68">
        <v>2.6199999999999999E-3</v>
      </c>
      <c r="AD205" s="68">
        <v>2.4214285714285722E-3</v>
      </c>
      <c r="AE205" s="68">
        <v>2.6375000000000001E-3</v>
      </c>
      <c r="AF205" s="68">
        <f>IF($Z$3="yes", -5.26460661516523E-06/$X205, -5.26460661516523E-06)</f>
        <v>-9.9332200286136418E-4</v>
      </c>
      <c r="AG205" s="68">
        <f>IF($Z$3="yes", 0.0000171215121512152/$X205, 0.0000171215121512152)</f>
        <v>3.2304739907953206E-3</v>
      </c>
      <c r="AH205" s="68">
        <f>IF($Z$3="yes", 0.0000442304921968791/$X205, 0.0000442304921968791)</f>
        <v>8.3453758862036039E-3</v>
      </c>
      <c r="AI205" s="68">
        <f>IF($Z$3="yes", 0.000058088835534214/$X205, 0.000058088835534214)</f>
        <v>1.0960157647964906E-2</v>
      </c>
      <c r="AJ205" s="68">
        <f>IF($Z$3="yes", -0.0000048120300751845/$X205, -0.0000048120300751845)</f>
        <v>-9.0793020286499991E-4</v>
      </c>
      <c r="AK205" s="68">
        <f>IF($Z$3="yes", 0.000115384615384617/$X205, 0.000115384615384617)</f>
        <v>2.1770682148040944E-2</v>
      </c>
      <c r="AL205" s="68">
        <f>IF($Z$3="yes", 0.000503571428571427/$X205, 0.000503571428571427)</f>
        <v>9.5013477088948486E-2</v>
      </c>
      <c r="AM205" s="68">
        <f>IF($Z$3="yes", 0.000340499999999998/$X205, 0.000340499999999998)</f>
        <v>6.4245283018867547E-2</v>
      </c>
      <c r="AN205" s="68">
        <f>IF($Z$3="yes", 0.000104500000000002/$X205, 0.000104500000000002)</f>
        <v>1.9716981132075848E-2</v>
      </c>
      <c r="AO205" s="68">
        <f>IF($Z$3="yes", 0.000183499999999997/$X205, 0.000183499999999997)</f>
        <v>3.4622641509433394E-2</v>
      </c>
      <c r="AP205" s="68">
        <f>IF($Z$3="yes", 0.000550500000000002/$X205, 0.000550500000000002)</f>
        <v>0.10386792452830228</v>
      </c>
      <c r="AQ205" s="68">
        <f>IF($Z$3="yes", 0.000351928571428574/$X205, 0.000351928571428574)</f>
        <v>6.6401617250674339E-2</v>
      </c>
      <c r="AR205" s="68">
        <f>IF($Z$3="yes", 0.000568000000000003/$X205, 0.000568000000000003)</f>
        <v>0.10716981132075527</v>
      </c>
      <c r="AS205" s="68">
        <f>IF($Z$3="yes", 0.000445000000000001/$X205, 0.000445000000000001)</f>
        <v>8.3962264150943586E-2</v>
      </c>
      <c r="AT205" s="68">
        <f>IF($Z$3="yes", 0.000157000000000001/$X205, 0.000157000000000001)</f>
        <v>2.9622641509434149E-2</v>
      </c>
      <c r="AU205" s="88">
        <f>IF($Z$3="yes", 0.000891000000000001/$X205, 0.000891000000000001)</f>
        <v>0.16811320754716999</v>
      </c>
      <c r="AV205" s="88">
        <f>IF($Z$3="yes", 0.000692428571428573/$X205, 0.000692428571428573)</f>
        <v>0.13064690026954207</v>
      </c>
      <c r="AW205" s="88">
        <f>IF($Z$3="yes", 0.000908500000000001/$X205, 0.000908500000000001)</f>
        <v>0.17141509433962282</v>
      </c>
      <c r="AX205" s="88">
        <f>IF($Z$3="yes", 0.000288/$X205, 0.000288)</f>
        <v>5.4339622641509433E-2</v>
      </c>
      <c r="AY205" s="88">
        <f>IF($Z$3="yes", 0.000734/$X205, 0.000734)</f>
        <v>0.13849056603773585</v>
      </c>
      <c r="AZ205" s="88">
        <f>IF($Z$3="yes", 0.000535428571428572/$X205, 0.000535428571428572)</f>
        <v>0.10102425876010793</v>
      </c>
      <c r="BA205" s="88">
        <f>IF($Z$3="yes", 0.0007515/$X205, 0.0007515)</f>
        <v>0.14179245283018868</v>
      </c>
      <c r="BB205" s="88">
        <f>IF($Z$3="yes", 0.000446/$X205, 0.000446)</f>
        <v>8.4150943396226419E-2</v>
      </c>
      <c r="BC205" s="88">
        <f>IF($Z$3="yes", 0.000247428571428572/$X205, 0.000247428571428572)</f>
        <v>4.6684636118598487E-2</v>
      </c>
      <c r="BD205" s="88">
        <f>IF($Z$3="yes", 0.0004635/$X205, 0.0004635)</f>
        <v>8.7452830188679248E-2</v>
      </c>
      <c r="BE205" s="88">
        <f>IF($Z$3="yes", 0.000198571428571428/$X205, 0.000198571428571428)</f>
        <v>3.7466307277627925E-2</v>
      </c>
      <c r="BF205" s="88">
        <f>IF($Z$3="yes", 0.0000175000000000001/$X205, 0.0000175000000000001)</f>
        <v>3.301886792452849E-3</v>
      </c>
      <c r="BG205" s="88">
        <f>IF($Z$3="yes", 0.000216071428571428/$X205, 0.000216071428571428)</f>
        <v>4.0768194070080754E-2</v>
      </c>
      <c r="BH205" s="88">
        <f>IF($Z$3="yes", 0.000652608843537415/$X205, 0.000652608843537415)</f>
        <v>0.1231337440636632</v>
      </c>
      <c r="BI205" s="68"/>
      <c r="BJ205" s="68"/>
      <c r="BK205" s="68">
        <f>IF($BL$3="yes", MAX(0, (83739325 - 87475987) / 39365490.8590541), 87475987)</f>
        <v>87475987</v>
      </c>
      <c r="BL205" s="68">
        <f>IF($BL$3="yes", MAX(0, (83739325 - 70065439.3) / 41262954.910934), 70065439.3)</f>
        <v>70065439.299999997</v>
      </c>
      <c r="BM205" s="68">
        <f>IF($BL$3="yes", MAX(0, (83739325 - 63492437.9) / 59796697.4983182), 63492437.9)</f>
        <v>63492437.899999999</v>
      </c>
      <c r="BN205" s="68">
        <f>IF($BL$3="yes", MAX(0, (83739325 - 56355663.32) / 62192387.7296174), 56355663.32)</f>
        <v>56355663.32</v>
      </c>
      <c r="BO205" s="68">
        <f>IF($BL$3="yes", MAX(0, (83739325 - 36070561.73) / 49749251.6472775), 36070561.73)</f>
        <v>36070561.729999997</v>
      </c>
      <c r="BP205" s="68">
        <f>IF($BL$3="yes", MAX(0, (83739325 - 24655788.355) / 39790482.5712519), 24655788.355)</f>
        <v>24655788.355</v>
      </c>
      <c r="BQ205" s="68">
        <v>72.862598955223845</v>
      </c>
      <c r="BR205" s="68"/>
      <c r="BS205" s="68"/>
      <c r="BT205" s="68">
        <v>-220644619.8543956</v>
      </c>
      <c r="BU205" s="68">
        <v>80747740.623771578</v>
      </c>
      <c r="BV205" s="68">
        <f>IF($Z$3="yes", 0.000902441832432261/$X205, 0.000902441832432261)</f>
        <v>0.17027204385514358</v>
      </c>
      <c r="BW205" s="68">
        <f>IF($Z$3="yes", 0.000563269579945373/$X205, 0.000563269579945373)</f>
        <v>0.10627727923497604</v>
      </c>
      <c r="BX205" s="68">
        <f>$BW$168 - $BV$168</f>
        <v>2.7102797066938689E-2</v>
      </c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81"/>
      <c r="CR205" s="81"/>
      <c r="CS205" s="68"/>
      <c r="CT205" s="68"/>
      <c r="CU205" s="68"/>
    </row>
    <row r="206" spans="1:99" ht="15.75" customHeight="1" thickBot="1" x14ac:dyDescent="0.3">
      <c r="A206" s="84" t="s">
        <v>194</v>
      </c>
      <c r="B206" s="67" t="s">
        <v>128</v>
      </c>
      <c r="C206" s="83" t="s">
        <v>568</v>
      </c>
      <c r="D206" s="67" t="s">
        <v>296</v>
      </c>
      <c r="E206" s="67">
        <v>1</v>
      </c>
      <c r="F206" s="85">
        <v>3.52</v>
      </c>
      <c r="G206" s="313">
        <v>44232</v>
      </c>
      <c r="H206" s="317">
        <v>1.89</v>
      </c>
      <c r="I206" s="85">
        <v>5.39</v>
      </c>
      <c r="J206" s="313">
        <v>44243</v>
      </c>
      <c r="K206" s="125">
        <f t="shared" si="8"/>
        <v>-0.46306818181818188</v>
      </c>
      <c r="L206" s="216">
        <f t="shared" si="9"/>
        <v>0.53125</v>
      </c>
      <c r="M206" s="312">
        <v>44407</v>
      </c>
      <c r="N206" s="68"/>
      <c r="O206" s="291">
        <v>16357784</v>
      </c>
      <c r="P206" s="291">
        <v>7540000</v>
      </c>
      <c r="Q206" s="291">
        <v>9</v>
      </c>
      <c r="R206" s="68" t="s">
        <v>152</v>
      </c>
      <c r="S206" s="68" t="s">
        <v>157</v>
      </c>
      <c r="T206" s="68" t="s">
        <v>297</v>
      </c>
      <c r="U206" s="68">
        <v>64</v>
      </c>
      <c r="V206" s="68">
        <v>951712</v>
      </c>
      <c r="W206" s="68"/>
      <c r="X206" s="68">
        <v>3.52</v>
      </c>
      <c r="Y206" s="68">
        <v>4.6003074999999942</v>
      </c>
      <c r="Z206" s="68">
        <v>3.548619</v>
      </c>
      <c r="AA206" s="68">
        <v>2.9607380000000001</v>
      </c>
      <c r="AB206" s="68">
        <v>2.890477999999999</v>
      </c>
      <c r="AC206" s="68">
        <v>3.138999999999998</v>
      </c>
      <c r="AD206" s="68">
        <v>3.197142857142858</v>
      </c>
      <c r="AE206" s="68">
        <v>3.2124999999999999</v>
      </c>
      <c r="AF206" s="68">
        <f>IF($Z$3="yes", -0.0216212001050017/$X206, -0.0216212001050017)</f>
        <v>-6.142386393466392E-3</v>
      </c>
      <c r="AG206" s="68">
        <f>IF($Z$3="yes", -0.0205438733873386/$X206, -0.0205438733873386)</f>
        <v>-5.8363276668575567E-3</v>
      </c>
      <c r="AH206" s="68">
        <f>IF($Z$3="yes", 0.0117540984393757/$X206, 0.0117540984393757)</f>
        <v>3.3392325111862783E-3</v>
      </c>
      <c r="AI206" s="68">
        <f>IF($Z$3="yes", 0.00365935654261709/$X206, 0.00365935654261709)</f>
        <v>1.039589926879855E-3</v>
      </c>
      <c r="AJ206" s="68">
        <f>IF($Z$3="yes", 0.0191729323308269/$X206, 0.0191729323308269)</f>
        <v>5.4468557758030967E-3</v>
      </c>
      <c r="AK206" s="68">
        <f>IF($Z$3="yes", 0.02465934065934/$X206, 0.02465934065934)</f>
        <v>7.0054945054943184E-3</v>
      </c>
      <c r="AL206" s="68">
        <f>IF($Z$3="yes", 0.0640476190476159/$X206, 0.0640476190476159)</f>
        <v>1.8195346320345425E-2</v>
      </c>
      <c r="AM206" s="68">
        <f>IF($Z$3="yes", 1.05168849999999/$X206, 1.05168849999999)</f>
        <v>0.29877514204545169</v>
      </c>
      <c r="AN206" s="68">
        <f>IF($Z$3="yes", 1.63956949999999/$X206, 1.63956949999999)</f>
        <v>0.46578678977272442</v>
      </c>
      <c r="AO206" s="68">
        <f>IF($Z$3="yes", 1.70982949999999/$X206, 1.70982949999999)</f>
        <v>0.4857470170454517</v>
      </c>
      <c r="AP206" s="68">
        <f>IF($Z$3="yes", 1.46130749999999/$X206, 1.46130749999999)</f>
        <v>0.41514417613636079</v>
      </c>
      <c r="AQ206" s="68">
        <f>IF($Z$3="yes", 1.40316464285713/$X206, 1.40316464285713)</f>
        <v>0.39862631899350287</v>
      </c>
      <c r="AR206" s="68">
        <f>IF($Z$3="yes", 1.38780749999999/$X206, 1.38780749999999)</f>
        <v>0.39426349431817898</v>
      </c>
      <c r="AS206" s="68">
        <f>IF($Z$3="yes", 0.587880999999999/$X206, 0.587880999999999)</f>
        <v>0.16701164772727245</v>
      </c>
      <c r="AT206" s="68">
        <f>IF($Z$3="yes", 0.658141/$X206, 0.658141)</f>
        <v>0.18697187499999998</v>
      </c>
      <c r="AU206" s="88">
        <f>IF($Z$3="yes", 0.409619000000001/$X206, 0.409619000000001)</f>
        <v>0.11636903409090937</v>
      </c>
      <c r="AV206" s="88">
        <f>IF($Z$3="yes", 0.351476142857142/$X206, 0.351476142857142)</f>
        <v>9.9851176948051706E-2</v>
      </c>
      <c r="AW206" s="88">
        <f>IF($Z$3="yes", 0.336118999999999/$X206, 0.336118999999999)</f>
        <v>9.5488352272726992E-2</v>
      </c>
      <c r="AX206" s="88">
        <f>IF($Z$3="yes", 0.0702600000000006/$X206, 0.0702600000000006)</f>
        <v>1.9960227272727442E-2</v>
      </c>
      <c r="AY206" s="88">
        <f>IF($Z$3="yes", 0.248521999999999/$X206, 0.248521999999999)</f>
        <v>7.0602840909090622E-2</v>
      </c>
      <c r="AZ206" s="88">
        <f>IF($Z$3="yes", 0.306664857142858/$X206, 0.306664857142858)</f>
        <v>8.7120698051948303E-2</v>
      </c>
      <c r="BA206" s="88">
        <f>IF($Z$3="yes", 0.322022000000001/$X206, 0.322022000000001)</f>
        <v>9.1483522727273003E-2</v>
      </c>
      <c r="BB206" s="88">
        <f>IF($Z$3="yes", 0.178261999999998/$X206, 0.178261999999998)</f>
        <v>5.0642613636363069E-2</v>
      </c>
      <c r="BC206" s="88">
        <f>IF($Z$3="yes", 0.236404857142857/$X206, 0.236404857142857)</f>
        <v>6.7160470779220743E-2</v>
      </c>
      <c r="BD206" s="88">
        <f>IF($Z$3="yes", 0.251762/$X206, 0.251762)</f>
        <v>7.1523295454545444E-2</v>
      </c>
      <c r="BE206" s="88">
        <f>IF($Z$3="yes", 0.058142857142859/$X206, 0.058142857142859)</f>
        <v>1.6517857142857671E-2</v>
      </c>
      <c r="BF206" s="88">
        <f>IF($Z$3="yes", 0.0735000000000019/$X206, 0.0735000000000019)</f>
        <v>2.0880681818182357E-2</v>
      </c>
      <c r="BG206" s="88">
        <f>IF($Z$3="yes", 0.0153571428571428/$X206, 0.0153571428571428)</f>
        <v>4.3628246753246594E-3</v>
      </c>
      <c r="BH206" s="88">
        <f>IF($Z$3="yes", 0.500656034013605/$X206, 0.500656034013605)</f>
        <v>0.14223182784477414</v>
      </c>
      <c r="BI206" s="68"/>
      <c r="BJ206" s="68"/>
      <c r="BK206" s="68">
        <f>IF($BL$3="yes", MAX(0, (951712 - 313570.4) / 320302.251768919), 313570.4)</f>
        <v>313570.40000000002</v>
      </c>
      <c r="BL206" s="68">
        <f>IF($BL$3="yes", MAX(0, (951712 - 311917.8) / 273048.76795503), 311917.8)</f>
        <v>311917.8</v>
      </c>
      <c r="BM206" s="68">
        <f>IF($BL$3="yes", MAX(0, (951712 - 275861) / 210110.540803644), 275861)</f>
        <v>275861</v>
      </c>
      <c r="BN206" s="68">
        <f>IF($BL$3="yes", MAX(0, (951712 - 242387.08) / 173799.532132148), 242387.08)</f>
        <v>242387.08</v>
      </c>
      <c r="BO206" s="68">
        <f>IF($BL$3="yes", MAX(0, (951712 - 167988.43125) / 157470.351296327), 167988.43125)</f>
        <v>167988.43124999999</v>
      </c>
      <c r="BP206" s="68">
        <f>IF($BL$3="yes", MAX(0, (951712 - 98656.906875) / 133913.164529723), 98656.906875)</f>
        <v>98656.906875000001</v>
      </c>
      <c r="BQ206" s="68">
        <v>60.760026877184671</v>
      </c>
      <c r="BR206" s="68"/>
      <c r="BS206" s="68"/>
      <c r="BT206" s="68">
        <v>-628272.34985995316</v>
      </c>
      <c r="BU206" s="68">
        <v>-40455.746840128093</v>
      </c>
      <c r="BV206" s="68">
        <f>IF($Z$3="yes", 0.291784701842538/$X206, 0.291784701842538)</f>
        <v>8.2893381205266486E-2</v>
      </c>
      <c r="BW206" s="68">
        <f>IF($Z$3="yes", 0.338633563033192/$X206, 0.338633563033192)</f>
        <v>9.6202716770793173E-2</v>
      </c>
      <c r="BX206" s="68">
        <f>$BW$149 - $BV$149</f>
        <v>0</v>
      </c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81"/>
      <c r="CR206" s="81"/>
      <c r="CS206" s="68"/>
      <c r="CT206" s="68"/>
      <c r="CU206" s="68"/>
    </row>
    <row r="207" spans="1:99" ht="15.75" customHeight="1" thickBot="1" x14ac:dyDescent="0.3">
      <c r="A207" s="84" t="s">
        <v>194</v>
      </c>
      <c r="B207" s="67" t="s">
        <v>128</v>
      </c>
      <c r="C207" s="83" t="s">
        <v>568</v>
      </c>
      <c r="D207" s="67" t="s">
        <v>569</v>
      </c>
      <c r="E207" s="67">
        <v>1</v>
      </c>
      <c r="F207" s="85">
        <v>3.65</v>
      </c>
      <c r="G207" s="313">
        <v>44232</v>
      </c>
      <c r="H207" s="317">
        <v>2.2400000000000002</v>
      </c>
      <c r="I207" s="85">
        <v>4.6100000000000003</v>
      </c>
      <c r="J207" s="313">
        <v>44245</v>
      </c>
      <c r="K207" s="125">
        <f t="shared" si="8"/>
        <v>-0.38630136986301367</v>
      </c>
      <c r="L207" s="166">
        <f t="shared" si="9"/>
        <v>0.26301369863013702</v>
      </c>
      <c r="M207" s="312">
        <v>44407</v>
      </c>
      <c r="N207" s="68"/>
      <c r="O207" s="291">
        <v>9864068</v>
      </c>
      <c r="P207" s="291">
        <v>9170000</v>
      </c>
      <c r="Q207" s="291">
        <v>11</v>
      </c>
      <c r="R207" s="68" t="s">
        <v>131</v>
      </c>
      <c r="S207" s="68" t="s">
        <v>148</v>
      </c>
      <c r="T207" s="68" t="s">
        <v>154</v>
      </c>
      <c r="U207" s="68">
        <v>1176</v>
      </c>
      <c r="V207" s="68">
        <v>2045778</v>
      </c>
      <c r="W207" s="68"/>
      <c r="X207" s="68">
        <v>3.65</v>
      </c>
      <c r="Y207" s="68">
        <v>0.93393249999999994</v>
      </c>
      <c r="Z207" s="68">
        <v>1.5786409999999991</v>
      </c>
      <c r="AA207" s="68">
        <v>3.0067499999999998</v>
      </c>
      <c r="AB207" s="68">
        <v>2.3616980000000001</v>
      </c>
      <c r="AC207" s="68">
        <v>3.326000000000001</v>
      </c>
      <c r="AD207" s="68">
        <v>3.3050000000000002</v>
      </c>
      <c r="AE207" s="68">
        <v>3.3587499999999988</v>
      </c>
      <c r="AF207" s="68">
        <f>IF($Z$3="yes", 0.0154480510762769/$X207, 0.0154480510762769)</f>
        <v>4.2323427606238088E-3</v>
      </c>
      <c r="AG207" s="68">
        <f>IF($Z$3="yes", 0.0467164698469847/$X207, 0.0467164698469847)</f>
        <v>1.2799032834790329E-2</v>
      </c>
      <c r="AH207" s="68">
        <f>IF($Z$3="yes", 0.0325357839135655/$X207, 0.0325357839135655)</f>
        <v>8.9139134009768497E-3</v>
      </c>
      <c r="AI207" s="68">
        <f>IF($Z$3="yes", 0.0773763601440578/$X207, 0.0773763601440578)</f>
        <v>2.1199002779193919E-2</v>
      </c>
      <c r="AJ207" s="68">
        <f>IF($Z$3="yes", 0.00518796992481203/$X207, 0.00518796992481203)</f>
        <v>1.4213616232361726E-3</v>
      </c>
      <c r="AK207" s="68">
        <f>IF($Z$3="yes", 0.0286813186813193/$X207, 0.0286813186813193)</f>
        <v>7.8578955291285762E-3</v>
      </c>
      <c r="AL207" s="68">
        <f>IF($Z$3="yes", 0.0608333333333358/$X207, 0.0608333333333358)</f>
        <v>1.6666666666667343E-2</v>
      </c>
      <c r="AM207" s="68">
        <f>IF($Z$3="yes", 0.644708499999999/$X207, 0.644708499999999)</f>
        <v>0.17663246575342439</v>
      </c>
      <c r="AN207" s="68">
        <f>IF($Z$3="yes", 2.07281749999999/$X207, 2.07281749999999)</f>
        <v>0.56789520547944927</v>
      </c>
      <c r="AO207" s="68">
        <f>IF($Z$3="yes", 1.4277655/$X207, 1.4277655)</f>
        <v>0.39116863013698633</v>
      </c>
      <c r="AP207" s="68">
        <f>IF($Z$3="yes", 2.3920675/$X207, 2.3920675)</f>
        <v>0.65536095890410961</v>
      </c>
      <c r="AQ207" s="68">
        <f>IF($Z$3="yes", 2.3710675/$X207, 2.3710675)</f>
        <v>0.64960753424657536</v>
      </c>
      <c r="AR207" s="68">
        <f>IF($Z$3="yes", 2.42481749999999/$X207, 2.42481749999999)</f>
        <v>0.66433356164383284</v>
      </c>
      <c r="AS207" s="68">
        <f>IF($Z$3="yes", 1.428109/$X207, 1.428109)</f>
        <v>0.39126273972602743</v>
      </c>
      <c r="AT207" s="68">
        <f>IF($Z$3="yes", 0.783057/$X207, 0.783057)</f>
        <v>0.21453616438356166</v>
      </c>
      <c r="AU207" s="88">
        <f>IF($Z$3="yes", 1.747359/$X207, 1.747359)</f>
        <v>0.478728493150685</v>
      </c>
      <c r="AV207" s="88">
        <f>IF($Z$3="yes", 1.726359/$X207, 1.726359)</f>
        <v>0.47297506849315069</v>
      </c>
      <c r="AW207" s="88">
        <f>IF($Z$3="yes", 1.78010899999999/$X207, 1.78010899999999)</f>
        <v>0.48770109589040822</v>
      </c>
      <c r="AX207" s="88">
        <f>IF($Z$3="yes", 0.645052/$X207, 0.645052)</f>
        <v>0.17672657534246575</v>
      </c>
      <c r="AY207" s="88">
        <f>IF($Z$3="yes", 0.964302/$X207, 0.964302)</f>
        <v>0.26419232876712329</v>
      </c>
      <c r="AZ207" s="88">
        <f>IF($Z$3="yes", 0.943301999999999/$X207, 0.943301999999999)</f>
        <v>0.25843890410958875</v>
      </c>
      <c r="BA207" s="88">
        <f>IF($Z$3="yes", 0.997051999999998/$X207, 0.997051999999998)</f>
        <v>0.27316493150684878</v>
      </c>
      <c r="BB207" s="88">
        <f>IF($Z$3="yes", 0.31925/$X207, 0.31925)</f>
        <v>8.7465753424657525E-2</v>
      </c>
      <c r="BC207" s="88">
        <f>IF($Z$3="yes", 0.298249999999999/$X207, 0.298249999999999)</f>
        <v>8.1712328767123019E-2</v>
      </c>
      <c r="BD207" s="88">
        <f>IF($Z$3="yes", 0.351999999999998/$X207, 0.351999999999998)</f>
        <v>9.643835616438301E-2</v>
      </c>
      <c r="BE207" s="88">
        <f>IF($Z$3="yes", 0.0210000000000007/$X207, 0.0210000000000007)</f>
        <v>5.7534246575344384E-3</v>
      </c>
      <c r="BF207" s="88">
        <f>IF($Z$3="yes", 0.0327499999999982/$X207, 0.0327499999999982)</f>
        <v>8.972602739725534E-3</v>
      </c>
      <c r="BG207" s="88">
        <f>IF($Z$3="yes", 0.053749999999999/$X207, 0.053749999999999)</f>
        <v>1.472602739726E-2</v>
      </c>
      <c r="BH207" s="88">
        <f>IF($Z$3="yes", 0.893116714285714/$X207, 0.893116714285714)</f>
        <v>0.24468951076320933</v>
      </c>
      <c r="BI207" s="68"/>
      <c r="BJ207" s="68"/>
      <c r="BK207" s="68">
        <f>IF($BL$3="yes", MAX(0, (2045778 - 5119186) / 5858913.50996701), 5119186)</f>
        <v>5119186</v>
      </c>
      <c r="BL207" s="68">
        <f>IF($BL$3="yes", MAX(0, (2045778 - 3376407) / 4509229.26664038), 3376407)</f>
        <v>3376407</v>
      </c>
      <c r="BM207" s="68">
        <f>IF($BL$3="yes", MAX(0, (2045778 - 2457229.05) / 3415944.61591072), 2457229.05)</f>
        <v>2457229.0499999998</v>
      </c>
      <c r="BN207" s="68">
        <f>IF($BL$3="yes", MAX(0, (2045778 - 10395578.5) / 30830060.317846), 10395578.5)</f>
        <v>10395578.5</v>
      </c>
      <c r="BO207" s="68">
        <f>IF($BL$3="yes", MAX(0, (2045778 - 24763372.58) / 67455647.5012736), 24763372.58)</f>
        <v>24763372.579999998</v>
      </c>
      <c r="BP207" s="68">
        <f>IF($BL$3="yes", MAX(0, (2045778 - 17422156.895) / 49238536.4045801), 17422156.895)</f>
        <v>17422156.895</v>
      </c>
      <c r="BQ207" s="68">
        <v>62.869903860617107</v>
      </c>
      <c r="BR207" s="68"/>
      <c r="BS207" s="68"/>
      <c r="BT207" s="68">
        <v>-857243755.3354429</v>
      </c>
      <c r="BU207" s="68">
        <v>-949824.82906854153</v>
      </c>
      <c r="BV207" s="68">
        <f>IF($Z$3="yes", 0.267751216849142/$X207, 0.267751216849142)</f>
        <v>7.3356497766888212E-2</v>
      </c>
      <c r="BW207" s="68">
        <f>IF($Z$3="yes", 0.216092950703646/$X207, 0.216092950703646)</f>
        <v>5.9203548137985208E-2</v>
      </c>
      <c r="BX207" s="68">
        <f>$BW$155 - $BV$155</f>
        <v>0</v>
      </c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81"/>
      <c r="CR207" s="81"/>
      <c r="CS207" s="68"/>
      <c r="CT207" s="68"/>
      <c r="CU207" s="68"/>
    </row>
    <row r="208" spans="1:99" ht="15.75" customHeight="1" thickBot="1" x14ac:dyDescent="0.3">
      <c r="A208" s="84" t="s">
        <v>194</v>
      </c>
      <c r="B208" s="67" t="s">
        <v>128</v>
      </c>
      <c r="C208" s="83" t="s">
        <v>568</v>
      </c>
      <c r="D208" s="67" t="s">
        <v>541</v>
      </c>
      <c r="E208" s="67">
        <v>1</v>
      </c>
      <c r="F208" s="85">
        <v>2.0699999999999998</v>
      </c>
      <c r="G208" s="313">
        <v>44232</v>
      </c>
      <c r="H208" s="317">
        <v>1.68</v>
      </c>
      <c r="I208" s="85">
        <v>4.09</v>
      </c>
      <c r="J208" s="313">
        <v>44272</v>
      </c>
      <c r="K208" s="125">
        <f t="shared" si="8"/>
        <v>-0.18840579710144922</v>
      </c>
      <c r="L208" s="221">
        <f t="shared" si="9"/>
        <v>0.97584541062801944</v>
      </c>
      <c r="M208" s="312">
        <v>44407</v>
      </c>
      <c r="N208" s="68"/>
      <c r="O208" s="291">
        <v>18085355</v>
      </c>
      <c r="P208" s="291">
        <v>12210000</v>
      </c>
      <c r="Q208" s="291">
        <v>38</v>
      </c>
      <c r="R208" s="68" t="s">
        <v>152</v>
      </c>
      <c r="S208" s="68" t="s">
        <v>132</v>
      </c>
      <c r="T208" s="68" t="s">
        <v>542</v>
      </c>
      <c r="U208" s="68">
        <v>280</v>
      </c>
      <c r="V208" s="68">
        <v>1570663</v>
      </c>
      <c r="W208" s="68"/>
      <c r="X208" s="68">
        <v>2.08</v>
      </c>
      <c r="Y208" s="68">
        <v>2.0077409999999989</v>
      </c>
      <c r="Z208" s="68">
        <v>1.8146059999999999</v>
      </c>
      <c r="AA208" s="68">
        <v>1.827402</v>
      </c>
      <c r="AB208" s="68">
        <v>1.8223039999999999</v>
      </c>
      <c r="AC208" s="68">
        <v>1.8940049999999991</v>
      </c>
      <c r="AD208" s="68">
        <v>1.905</v>
      </c>
      <c r="AE208" s="68">
        <v>1.8925000000000001</v>
      </c>
      <c r="AF208" s="68">
        <f>IF($Z$3="yes", -0.00284257961449033/$X208, -0.00284257961449033)</f>
        <v>-1.3666248146588125E-3</v>
      </c>
      <c r="AG208" s="68">
        <f>IF($Z$3="yes", 0.00107350735073497/$X208, 0.00107350735073497)</f>
        <v>5.1610930323796626E-4</v>
      </c>
      <c r="AH208" s="68">
        <f>IF($Z$3="yes", 0.00252731332532979/$X208, 0.00252731332532979)</f>
        <v>1.2150544833316296E-3</v>
      </c>
      <c r="AI208" s="68">
        <f>IF($Z$3="yes", -0.000744096038415597/$X208, -0.000744096038415597)</f>
        <v>-3.5773848000749851E-4</v>
      </c>
      <c r="AJ208" s="68">
        <f>IF($Z$3="yes", 0.00421676691729347/$X208, 0.00421676691729347)</f>
        <v>2.0272917871603218E-3</v>
      </c>
      <c r="AK208" s="68">
        <f>IF($Z$3="yes", 0.00386813186813206/$X208, 0.00386813186813206)</f>
        <v>1.8596787827557981E-3</v>
      </c>
      <c r="AL208" s="68">
        <f>IF($Z$3="yes", 0.0330952380952398/$X208, 0.0330952380952398)</f>
        <v>1.5911172161172982E-2</v>
      </c>
      <c r="AM208" s="68">
        <f>IF($Z$3="yes", 0.193134999999999/$X208, 0.193134999999999)</f>
        <v>9.2853365384614903E-2</v>
      </c>
      <c r="AN208" s="68">
        <f>IF($Z$3="yes", 0.180338999999999/$X208, 0.180338999999999)</f>
        <v>8.670144230769182E-2</v>
      </c>
      <c r="AO208" s="68">
        <f>IF($Z$3="yes", 0.185436999999999/$X208, 0.185436999999999)</f>
        <v>8.9152403846153361E-2</v>
      </c>
      <c r="AP208" s="68">
        <f>IF($Z$3="yes", 0.113736/$X208, 0.113736)</f>
        <v>5.4680769230769227E-2</v>
      </c>
      <c r="AQ208" s="68">
        <f>IF($Z$3="yes", 0.102740999999999/$X208, 0.102740999999999)</f>
        <v>4.9394711538461054E-2</v>
      </c>
      <c r="AR208" s="68">
        <f>IF($Z$3="yes", 0.115240999999999/$X208, 0.115240999999999)</f>
        <v>5.5404326923076438E-2</v>
      </c>
      <c r="AS208" s="68">
        <f>IF($Z$3="yes", 0.0127960000000004/$X208, 0.0127960000000004)</f>
        <v>6.1519230769232691E-3</v>
      </c>
      <c r="AT208" s="68">
        <f>IF($Z$3="yes", 0.00769800000000064/$X208, 0.00769800000000064)</f>
        <v>3.7009615384618459E-3</v>
      </c>
      <c r="AU208" s="88">
        <f>IF($Z$3="yes", 0.0793989999999995/$X208, 0.0793989999999995)</f>
        <v>3.8172596153845911E-2</v>
      </c>
      <c r="AV208" s="88">
        <f>IF($Z$3="yes", 0.0903940000000007/$X208, 0.0903940000000007)</f>
        <v>4.3458653846154181E-2</v>
      </c>
      <c r="AW208" s="88">
        <f>IF($Z$3="yes", 0.0778940000000001/$X208, 0.0778940000000001)</f>
        <v>3.7449038461538513E-2</v>
      </c>
      <c r="AX208" s="88">
        <f>IF($Z$3="yes", 0.00509799999999982/$X208, 0.00509799999999982)</f>
        <v>2.4509615384614518E-3</v>
      </c>
      <c r="AY208" s="88">
        <f>IF($Z$3="yes", 0.0717009999999989/$X208, 0.0717009999999989)</f>
        <v>3.4471634615384085E-2</v>
      </c>
      <c r="AZ208" s="88">
        <f>IF($Z$3="yes", 0.0826960000000001/$X208, 0.0826960000000001)</f>
        <v>3.9757692307692355E-2</v>
      </c>
      <c r="BA208" s="88">
        <f>IF($Z$3="yes", 0.0701959999999994/$X208, 0.0701959999999994)</f>
        <v>3.3748076923076631E-2</v>
      </c>
      <c r="BB208" s="88">
        <f>IF($Z$3="yes", 0.066602999999999/$X208, 0.066602999999999)</f>
        <v>3.2020673076922593E-2</v>
      </c>
      <c r="BC208" s="88">
        <f>IF($Z$3="yes", 0.0775980000000002/$X208, 0.0775980000000002)</f>
        <v>3.7306730769230863E-2</v>
      </c>
      <c r="BD208" s="88">
        <f>IF($Z$3="yes", 0.0650979999999996/$X208, 0.0650979999999996)</f>
        <v>3.1297115384615194E-2</v>
      </c>
      <c r="BE208" s="88">
        <f>IF($Z$3="yes", 0.0109950000000011/$X208, 0.0109950000000011)</f>
        <v>5.2860576923082206E-3</v>
      </c>
      <c r="BF208" s="88">
        <f>IF($Z$3="yes", 0.00150499999999942/$X208, 0.00150499999999942)</f>
        <v>7.2355769230741343E-4</v>
      </c>
      <c r="BG208" s="88">
        <f>IF($Z$3="yes", 0.0125000000000006/$X208, 0.0125000000000006)</f>
        <v>6.009615384615672E-3</v>
      </c>
      <c r="BH208" s="88">
        <f>IF($Z$3="yes", 0.215698619047619/$X208, 0.215698619047619)</f>
        <v>0.10370125915750913</v>
      </c>
      <c r="BI208" s="68"/>
      <c r="BJ208" s="68"/>
      <c r="BK208" s="68">
        <f>IF($BL$3="yes", MAX(0, (1570663 - 918170.6) / 853905.54905343), 918170.6)</f>
        <v>918170.6</v>
      </c>
      <c r="BL208" s="68">
        <f>IF($BL$3="yes", MAX(0, (1570663 - 538461.9) / 714999.266059546), 538461.9)</f>
        <v>538461.9</v>
      </c>
      <c r="BM208" s="68">
        <f>IF($BL$3="yes", MAX(0, (1570663 - 344092.7) / 543925.881554196), 344092.7)</f>
        <v>344092.7</v>
      </c>
      <c r="BN208" s="68">
        <f>IF($BL$3="yes", MAX(0, (1570663 - 278169.76) / 506460.132174075), 278169.76)</f>
        <v>278169.76</v>
      </c>
      <c r="BO208" s="68">
        <f>IF($BL$3="yes", MAX(0, (1570663 - 292610.18) / 1376085.51880886), 292610.18)</f>
        <v>292610.18</v>
      </c>
      <c r="BP208" s="68">
        <f>IF($BL$3="yes", MAX(0, (1570663 - 260565.725) / 1562285.15580499), 260565.725)</f>
        <v>260565.72500000001</v>
      </c>
      <c r="BQ208" s="68">
        <v>65.839514331343921</v>
      </c>
      <c r="BR208" s="68"/>
      <c r="BS208" s="68"/>
      <c r="BT208" s="68">
        <v>-25956379.951936342</v>
      </c>
      <c r="BU208" s="68">
        <v>-756691.80467028171</v>
      </c>
      <c r="BV208" s="68">
        <f>IF($Z$3="yes", 0.153313369806488/$X208, 0.153313369806488)</f>
        <v>7.3708350868503844E-2</v>
      </c>
      <c r="BW208" s="68">
        <f>IF($Z$3="yes", 0.127616426593253/$X208, 0.127616426593253)</f>
        <v>6.1354051246756254E-2</v>
      </c>
      <c r="BX208" s="68">
        <f>$BW$156 - $BV$156</f>
        <v>0</v>
      </c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81"/>
      <c r="CR208" s="81"/>
      <c r="CS208" s="68"/>
      <c r="CT208" s="68"/>
      <c r="CU208" s="68"/>
    </row>
    <row r="209" spans="1:99" ht="15.75" customHeight="1" thickBot="1" x14ac:dyDescent="0.3">
      <c r="A209" s="84"/>
      <c r="B209" s="67" t="s">
        <v>128</v>
      </c>
      <c r="C209" s="83" t="s">
        <v>568</v>
      </c>
      <c r="D209" s="67" t="s">
        <v>515</v>
      </c>
      <c r="E209" s="67">
        <v>2</v>
      </c>
      <c r="F209" s="85">
        <v>2.16</v>
      </c>
      <c r="G209" s="313">
        <v>44232</v>
      </c>
      <c r="H209" s="317">
        <v>1.42</v>
      </c>
      <c r="I209" s="85">
        <v>3.65</v>
      </c>
      <c r="J209" s="313">
        <v>44244</v>
      </c>
      <c r="K209" s="125">
        <f t="shared" si="8"/>
        <v>-0.34259259259259267</v>
      </c>
      <c r="L209" s="214">
        <f t="shared" si="9"/>
        <v>0.68981481481481466</v>
      </c>
      <c r="M209" s="312">
        <v>44407</v>
      </c>
      <c r="N209" s="68"/>
      <c r="O209" s="291">
        <v>37948082</v>
      </c>
      <c r="P209" s="291">
        <v>13410000</v>
      </c>
      <c r="Q209" s="291">
        <v>10</v>
      </c>
      <c r="R209" s="68" t="s">
        <v>211</v>
      </c>
      <c r="S209" s="68" t="s">
        <v>220</v>
      </c>
      <c r="T209" s="67" t="s">
        <v>516</v>
      </c>
      <c r="U209" s="68">
        <v>728</v>
      </c>
      <c r="V209" s="68">
        <v>6028132</v>
      </c>
      <c r="W209" s="68"/>
      <c r="X209" s="68">
        <v>2.16</v>
      </c>
      <c r="Y209" s="68">
        <v>1.2619104999999999</v>
      </c>
      <c r="Z209" s="68">
        <v>1.402105999999999</v>
      </c>
      <c r="AA209" s="68">
        <v>1.571388</v>
      </c>
      <c r="AB209" s="68">
        <v>1.4821359999999999</v>
      </c>
      <c r="AC209" s="68">
        <v>1.752250000000001</v>
      </c>
      <c r="AD209" s="68">
        <v>1.7985714285714289</v>
      </c>
      <c r="AE209" s="68">
        <v>1.7462500000000001</v>
      </c>
      <c r="AF209" s="68">
        <f>IF($Z$3="yes", 0.00347156041401036/$X209, 0.00347156041401036)</f>
        <v>1.6072038953751666E-3</v>
      </c>
      <c r="AG209" s="68">
        <f>IF($Z$3="yes", 0.00670126972697277/$X209, 0.00670126972697277)</f>
        <v>3.1024396884133192E-3</v>
      </c>
      <c r="AH209" s="68">
        <f>IF($Z$3="yes", 0.00896607923169236/$X209, 0.00896607923169236)</f>
        <v>4.1509626072649807E-3</v>
      </c>
      <c r="AI209" s="68">
        <f>IF($Z$3="yes", 0.00900254501800686/$X209, 0.00900254501800686)</f>
        <v>4.1678449157439169E-3</v>
      </c>
      <c r="AJ209" s="68">
        <f>IF($Z$3="yes", 0.00752255639097711/$X209, 0.00752255639097711)</f>
        <v>3.4826649958227358E-3</v>
      </c>
      <c r="AK209" s="68">
        <f>IF($Z$3="yes", -0.00795604395604457/$X209, -0.00795604395604457)</f>
        <v>-3.6833536833539671E-3</v>
      </c>
      <c r="AL209" s="68">
        <f>IF($Z$3="yes", 0.0639285714285703/$X209, 0.0639285714285703)</f>
        <v>2.9596560846560319E-2</v>
      </c>
      <c r="AM209" s="68">
        <f>IF($Z$3="yes", 0.140195499999999/$X209, 0.140195499999999)</f>
        <v>6.4905324074073609E-2</v>
      </c>
      <c r="AN209" s="68">
        <f>IF($Z$3="yes", 0.3094775/$X209, 0.3094775)</f>
        <v>0.14327662037037037</v>
      </c>
      <c r="AO209" s="68">
        <f>IF($Z$3="yes", 0.2202255/$X209, 0.2202255)</f>
        <v>0.10195624999999998</v>
      </c>
      <c r="AP209" s="68">
        <f>IF($Z$3="yes", 0.490339500000001/$X209, 0.490339500000001)</f>
        <v>0.22700902777777821</v>
      </c>
      <c r="AQ209" s="68">
        <f>IF($Z$3="yes", 0.536660928571429/$X209, 0.536660928571429)</f>
        <v>0.24845413359788379</v>
      </c>
      <c r="AR209" s="68">
        <f>IF($Z$3="yes", 0.4843395/$X209, 0.4843395)</f>
        <v>0.22423124999999997</v>
      </c>
      <c r="AS209" s="68">
        <f>IF($Z$3="yes", 0.169282000000001/$X209, 0.169282000000001)</f>
        <v>7.8371296296296744E-2</v>
      </c>
      <c r="AT209" s="68">
        <f>IF($Z$3="yes", 0.0800300000000011/$X209, 0.0800300000000011)</f>
        <v>3.7050925925926431E-2</v>
      </c>
      <c r="AU209" s="88">
        <f>IF($Z$3="yes", 0.350144000000001/$X209, 0.350144000000001)</f>
        <v>0.16210370370370417</v>
      </c>
      <c r="AV209" s="88">
        <f>IF($Z$3="yes", 0.396465428571429/$X209, 0.396465428571429)</f>
        <v>0.18354880952380973</v>
      </c>
      <c r="AW209" s="88">
        <f>IF($Z$3="yes", 0.344144000000001/$X209, 0.344144000000001)</f>
        <v>0.15932592592592637</v>
      </c>
      <c r="AX209" s="88">
        <f>IF($Z$3="yes", 0.0892519999999998/$X209, 0.0892519999999998)</f>
        <v>4.1320370370370278E-2</v>
      </c>
      <c r="AY209" s="88">
        <f>IF($Z$3="yes", 0.270114/$X209, 0.270114)</f>
        <v>0.12505277777777779</v>
      </c>
      <c r="AZ209" s="88">
        <f>IF($Z$3="yes", 0.316435428571428/$X209, 0.316435428571428)</f>
        <v>0.14649788359788332</v>
      </c>
      <c r="BA209" s="88">
        <f>IF($Z$3="yes", 0.264113999999999/$X209, 0.264113999999999)</f>
        <v>0.12227499999999954</v>
      </c>
      <c r="BB209" s="88">
        <f>IF($Z$3="yes", 0.180862/$X209, 0.180862)</f>
        <v>8.3732407407407394E-2</v>
      </c>
      <c r="BC209" s="88">
        <f>IF($Z$3="yes", 0.227183428571428/$X209, 0.227183428571428)</f>
        <v>0.10517751322751297</v>
      </c>
      <c r="BD209" s="88">
        <f>IF($Z$3="yes", 0.174862/$X209, 0.174862)</f>
        <v>8.0954629629629626E-2</v>
      </c>
      <c r="BE209" s="88">
        <f>IF($Z$3="yes", 0.0463214285714284/$X209, 0.0463214285714284)</f>
        <v>2.1445105820105739E-2</v>
      </c>
      <c r="BF209" s="88">
        <f>IF($Z$3="yes", 0.00600000000000044/$X209, 0.00600000000000044)</f>
        <v>2.7777777777779813E-3</v>
      </c>
      <c r="BG209" s="88">
        <f>IF($Z$3="yes", 0.0523214285714288/$X209, 0.0523214285714288)</f>
        <v>2.4222883597883705E-2</v>
      </c>
      <c r="BH209" s="88">
        <f>IF($Z$3="yes", 0.310112027210884/$X209, 0.310112027210884)</f>
        <v>0.14357038296800184</v>
      </c>
      <c r="BI209" s="68"/>
      <c r="BJ209" s="68"/>
      <c r="BK209" s="68">
        <f>IF($BL$3="yes", MAX(0, (6028132 - 3872929.2) / 2898938.89080452), 3872929.2)</f>
        <v>3872929.2</v>
      </c>
      <c r="BL209" s="68">
        <f>IF($BL$3="yes", MAX(0, (6028132 - 2505006.8) / 2483660.42364292), 2505006.8)</f>
        <v>2505006.7999999998</v>
      </c>
      <c r="BM209" s="68">
        <f>IF($BL$3="yes", MAX(0, (6028132 - 3311977.6) / 5306273.70594329), 3311977.6)</f>
        <v>3311977.6</v>
      </c>
      <c r="BN209" s="68">
        <f>IF($BL$3="yes", MAX(0, (6028132 - 1479177.8) / 3679336.77651939), 1479177.8)</f>
        <v>1479177.8</v>
      </c>
      <c r="BO209" s="68">
        <f>IF($BL$3="yes", MAX(0, (6028132 - 967910.32) / 2755760.60721548), 967910.32)</f>
        <v>967910.32</v>
      </c>
      <c r="BP209" s="68">
        <f>IF($BL$3="yes", MAX(0, (6028132 - 927910.58) / 3931158.50122566), 927910.58)</f>
        <v>927910.58</v>
      </c>
      <c r="BQ209" s="68">
        <v>65.864844132320883</v>
      </c>
      <c r="BR209" s="68"/>
      <c r="BS209" s="68"/>
      <c r="BT209" s="68">
        <v>-13907342.478611169</v>
      </c>
      <c r="BU209" s="68">
        <v>961066.61143220775</v>
      </c>
      <c r="BV209" s="68">
        <f>IF($Z$3="yes", 0.22917931841783/$X209, 0.22917931841783)</f>
        <v>0.10610153630455092</v>
      </c>
      <c r="BW209" s="68">
        <f>IF($Z$3="yes", 0.163016730505929/$X209, 0.163016730505929)</f>
        <v>7.5470708567559719E-2</v>
      </c>
      <c r="BX209" s="68">
        <f>$BW$147 - $BV$147</f>
        <v>0</v>
      </c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81"/>
      <c r="CR209" s="81"/>
      <c r="CS209" s="68"/>
      <c r="CT209" s="68"/>
      <c r="CU209" s="68"/>
    </row>
    <row r="210" spans="1:99" ht="15.75" customHeight="1" thickBot="1" x14ac:dyDescent="0.3">
      <c r="A210" s="84"/>
      <c r="B210" s="67" t="s">
        <v>128</v>
      </c>
      <c r="C210" s="83" t="s">
        <v>568</v>
      </c>
      <c r="D210" s="67" t="s">
        <v>570</v>
      </c>
      <c r="E210" s="67">
        <v>1</v>
      </c>
      <c r="F210" s="85">
        <v>4.2699999999999996</v>
      </c>
      <c r="G210" s="313">
        <v>44232</v>
      </c>
      <c r="H210" s="317">
        <v>1.91</v>
      </c>
      <c r="I210" s="85">
        <v>7</v>
      </c>
      <c r="J210" s="313">
        <v>44265</v>
      </c>
      <c r="K210" s="125">
        <f t="shared" si="8"/>
        <v>-0.5526932084309133</v>
      </c>
      <c r="L210" s="215">
        <f t="shared" si="9"/>
        <v>0.63934426229508223</v>
      </c>
      <c r="M210" s="312">
        <v>44407</v>
      </c>
      <c r="N210" s="68"/>
      <c r="O210" s="291">
        <v>21390290</v>
      </c>
      <c r="P210" s="291">
        <v>15930000</v>
      </c>
      <c r="Q210" s="291">
        <v>31</v>
      </c>
      <c r="R210" s="68" t="s">
        <v>131</v>
      </c>
      <c r="S210" s="68" t="s">
        <v>148</v>
      </c>
      <c r="T210" s="68" t="s">
        <v>154</v>
      </c>
      <c r="U210" s="68">
        <v>2004</v>
      </c>
      <c r="V210" s="68">
        <v>2971762</v>
      </c>
      <c r="W210" s="68"/>
      <c r="X210" s="68">
        <v>4.2699999999999996</v>
      </c>
      <c r="Y210" s="68">
        <v>5.733527999999998</v>
      </c>
      <c r="Z210" s="68">
        <v>5.2744799999999916</v>
      </c>
      <c r="AA210" s="68">
        <v>5.4557600000000006</v>
      </c>
      <c r="AB210" s="68">
        <v>5.6951600000000031</v>
      </c>
      <c r="AC210" s="68">
        <v>4.1209999999999978</v>
      </c>
      <c r="AD210" s="68">
        <v>4.0321428571428566</v>
      </c>
      <c r="AE210" s="68">
        <v>4.0137500000000017</v>
      </c>
      <c r="AF210" s="68">
        <f>IF($Z$3="yes", -0.00553665461636501/$X210, -0.00553665461636501)</f>
        <v>-1.2966404253782226E-3</v>
      </c>
      <c r="AG210" s="68">
        <f>IF($Z$3="yes", -0.00135536753675279/$X210, -0.00135536753675279)</f>
        <v>-3.1741628495381499E-4</v>
      </c>
      <c r="AH210" s="68">
        <f>IF($Z$3="yes", -0.0685259063625453/$X210, -0.0685259063625453)</f>
        <v>-1.6048221630572672E-2</v>
      </c>
      <c r="AI210" s="68">
        <f>IF($Z$3="yes", -0.0241335894357747/$X210, -0.0241335894357747)</f>
        <v>-5.6518944814460664E-3</v>
      </c>
      <c r="AJ210" s="68">
        <f>IF($Z$3="yes", -0.0181353383458636/$X210, -0.0181353383458636)</f>
        <v>-4.2471518374387826E-3</v>
      </c>
      <c r="AK210" s="68">
        <f>IF($Z$3="yes", 0.0126813186813193/$X210, 0.0126813186813193)</f>
        <v>2.9698638597937476E-3</v>
      </c>
      <c r="AL210" s="68">
        <f>IF($Z$3="yes", 0.0794047619047668/$X210, 0.0794047619047668)</f>
        <v>1.8595962975355224E-2</v>
      </c>
      <c r="AM210" s="68">
        <f>IF($Z$3="yes", 0.459048000000006/$X210, 0.459048000000006)</f>
        <v>0.10750538641686325</v>
      </c>
      <c r="AN210" s="68">
        <f>IF($Z$3="yes", 0.277767999999997/$X210, 0.277767999999997)</f>
        <v>6.5051053864167929E-2</v>
      </c>
      <c r="AO210" s="68">
        <f>IF($Z$3="yes", 0.0383679999999948/$X210, 0.0383679999999948)</f>
        <v>8.9854800936755991E-3</v>
      </c>
      <c r="AP210" s="68">
        <f>IF($Z$3="yes", 1.612528/$X210, 1.612528)</f>
        <v>0.37764121779859489</v>
      </c>
      <c r="AQ210" s="68">
        <f>IF($Z$3="yes", 1.70138514285714/$X210, 1.70138514285714)</f>
        <v>0.39845085312813588</v>
      </c>
      <c r="AR210" s="68">
        <f>IF($Z$3="yes", 1.71977799999999/$X210, 1.71977799999999)</f>
        <v>0.40275831381732791</v>
      </c>
      <c r="AS210" s="68">
        <f>IF($Z$3="yes", 0.181280000000009/$X210, 0.181280000000009)</f>
        <v>4.2454332552695317E-2</v>
      </c>
      <c r="AT210" s="68">
        <f>IF($Z$3="yes", 0.420680000000011/$X210, 0.420680000000011)</f>
        <v>9.8519906323187592E-2</v>
      </c>
      <c r="AU210" s="88">
        <f>IF($Z$3="yes", 1.15347999999999/$X210, 1.15347999999999)</f>
        <v>0.2701358313817307</v>
      </c>
      <c r="AV210" s="88">
        <f>IF($Z$3="yes", 1.24233714285713/$X210, 1.24233714285713)</f>
        <v>0.29094546671127169</v>
      </c>
      <c r="AW210" s="88">
        <f>IF($Z$3="yes", 1.26072999999999/$X210, 1.26072999999999)</f>
        <v>0.29525292740046605</v>
      </c>
      <c r="AX210" s="88">
        <f>IF($Z$3="yes", 0.239400000000001/$X210, 0.239400000000001)</f>
        <v>5.6065573770492046E-2</v>
      </c>
      <c r="AY210" s="88">
        <f>IF($Z$3="yes", 1.57416/$X210, 1.57416)</f>
        <v>0.36865573770491805</v>
      </c>
      <c r="AZ210" s="88">
        <f>IF($Z$3="yes", 1.66301714285714/$X210, 1.66301714285714)</f>
        <v>0.38946537303445905</v>
      </c>
      <c r="BA210" s="88">
        <f>IF($Z$3="yes", 1.68141/$X210, 1.68141)</f>
        <v>0.39377283372365346</v>
      </c>
      <c r="BB210" s="88">
        <f>IF($Z$3="yes", 1.33476/$X210, 1.33476)</f>
        <v>0.31259016393442624</v>
      </c>
      <c r="BC210" s="88">
        <f>IF($Z$3="yes", 1.42361714285714/$X210, 1.42361714285714)</f>
        <v>0.33339979926396723</v>
      </c>
      <c r="BD210" s="88">
        <f>IF($Z$3="yes", 1.44200999999999/$X210, 1.44200999999999)</f>
        <v>0.33770725995315931</v>
      </c>
      <c r="BE210" s="88">
        <f>IF($Z$3="yes", 0.0888571428571403/$X210, 0.0888571428571403)</f>
        <v>2.0809635329541058E-2</v>
      </c>
      <c r="BF210" s="88">
        <f>IF($Z$3="yes", 0.107249999999996/$X210, 0.107249999999996)</f>
        <v>2.5117096018734429E-2</v>
      </c>
      <c r="BG210" s="88">
        <f>IF($Z$3="yes", 0.0183928571428557/$X210, 0.0183928571428557)</f>
        <v>4.3074606891933733E-3</v>
      </c>
      <c r="BH210" s="88">
        <f>IF($Z$3="yes", 1.04177496598639/$X210, 1.04177496598639)</f>
        <v>0.24397540187034897</v>
      </c>
      <c r="BI210" s="68"/>
      <c r="BJ210" s="68"/>
      <c r="BK210" s="68">
        <f>IF($BL$3="yes", MAX(0, (2971762 - 3426557.4) / 1568952.39306125), 3426557.4)</f>
        <v>3426557.4</v>
      </c>
      <c r="BL210" s="68">
        <f>IF($BL$3="yes", MAX(0, (2971762 - 2377994.7) / 1574971.42516002), 2377994.7)</f>
        <v>2377994.7000000002</v>
      </c>
      <c r="BM210" s="68">
        <f>IF($BL$3="yes", MAX(0, (2971762 - 1792795) / 1344524.83535716), 1792795)</f>
        <v>1792795</v>
      </c>
      <c r="BN210" s="68">
        <f>IF($BL$3="yes", MAX(0, (2971762 - 1255097.825) / 1659690.28169174), 1255097.825)</f>
        <v>1255097.825</v>
      </c>
      <c r="BO210" s="68">
        <f>IF($BL$3="yes", MAX(0, (2971762 - 715829.805) / 1303721.65840704), 715829.805)</f>
        <v>715829.80500000005</v>
      </c>
      <c r="BP210" s="68">
        <f>IF($BL$3="yes", MAX(0, (2971762 - 510719.87875) / 1667873.00852204), 510719.87875)</f>
        <v>510719.87874999997</v>
      </c>
      <c r="BQ210" s="68">
        <v>47.355457488827007</v>
      </c>
      <c r="BR210" s="68"/>
      <c r="BS210" s="68"/>
      <c r="BT210" s="68">
        <v>4133943.3708704552</v>
      </c>
      <c r="BU210" s="68">
        <v>447884.00055494491</v>
      </c>
      <c r="BV210" s="68">
        <f>IF($Z$3="yes", 0.63429049983121/$X210, 0.63429049983121)</f>
        <v>0.14854578450379627</v>
      </c>
      <c r="BW210" s="68">
        <f>IF($Z$3="yes", 0.90184032535509/$X210, 0.90184032535509)</f>
        <v>0.21120382326817097</v>
      </c>
      <c r="BX210" s="68">
        <f>$BW$148 - $BV$148</f>
        <v>0</v>
      </c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81"/>
      <c r="CR210" s="81"/>
      <c r="CS210" s="68"/>
      <c r="CT210" s="68"/>
      <c r="CU210" s="68"/>
    </row>
    <row r="211" spans="1:99" ht="15.75" customHeight="1" thickBot="1" x14ac:dyDescent="0.3">
      <c r="A211" s="84" t="s">
        <v>194</v>
      </c>
      <c r="B211" s="67" t="s">
        <v>128</v>
      </c>
      <c r="C211" s="83" t="s">
        <v>568</v>
      </c>
      <c r="D211" s="67" t="s">
        <v>303</v>
      </c>
      <c r="E211" s="67">
        <v>1</v>
      </c>
      <c r="F211" s="85">
        <v>1.74</v>
      </c>
      <c r="G211" s="313">
        <v>44232</v>
      </c>
      <c r="H211" s="317">
        <v>1.22</v>
      </c>
      <c r="I211" s="85">
        <v>2.46</v>
      </c>
      <c r="J211" s="313">
        <v>44243</v>
      </c>
      <c r="K211" s="125">
        <f t="shared" si="8"/>
        <v>-0.29885057471264365</v>
      </c>
      <c r="L211" s="139">
        <f t="shared" si="9"/>
        <v>0.4137931034482758</v>
      </c>
      <c r="M211" s="312">
        <v>44407</v>
      </c>
      <c r="N211" s="68"/>
      <c r="O211" s="291">
        <v>32037547</v>
      </c>
      <c r="P211" s="291">
        <v>24970000</v>
      </c>
      <c r="Q211" s="291">
        <v>9</v>
      </c>
      <c r="R211" s="68" t="s">
        <v>131</v>
      </c>
      <c r="S211" s="68" t="s">
        <v>148</v>
      </c>
      <c r="T211" s="68" t="s">
        <v>304</v>
      </c>
      <c r="U211" s="68">
        <v>544</v>
      </c>
      <c r="V211" s="68">
        <v>690492</v>
      </c>
      <c r="W211" s="68"/>
      <c r="X211" s="68">
        <v>1.74</v>
      </c>
      <c r="Y211" s="68">
        <v>1.2070590000000021</v>
      </c>
      <c r="Z211" s="68">
        <v>1.2364219999999999</v>
      </c>
      <c r="AA211" s="68">
        <v>1.352384</v>
      </c>
      <c r="AB211" s="68">
        <v>1.2827839999999999</v>
      </c>
      <c r="AC211" s="68">
        <v>1.5075000000000001</v>
      </c>
      <c r="AD211" s="68">
        <v>1.5271428571428569</v>
      </c>
      <c r="AE211" s="68">
        <v>1.5337499999999999</v>
      </c>
      <c r="AF211" s="68">
        <f>IF($Z$3="yes", 0.00117585989649726/$X211, 0.00117585989649726)</f>
        <v>6.7578154971106896E-4</v>
      </c>
      <c r="AG211" s="68">
        <f>IF($Z$3="yes", 0.00455663006300632/$X211, 0.00455663006300632)</f>
        <v>2.618752909773747E-3</v>
      </c>
      <c r="AH211" s="68">
        <f>IF($Z$3="yes", 0.00755093397358943/$X211, 0.00755093397358943)</f>
        <v>4.3396172262008216E-3</v>
      </c>
      <c r="AI211" s="68">
        <f>IF($Z$3="yes", 0.00588485954381759/$X211, 0.00588485954381759)</f>
        <v>3.382103186102063E-3</v>
      </c>
      <c r="AJ211" s="68">
        <f>IF($Z$3="yes", 0.00898496240601531/$X211, 0.00898496240601531)</f>
        <v>5.1637714977099489E-3</v>
      </c>
      <c r="AK211" s="68">
        <f>IF($Z$3="yes", 0.0106813186813188/$X211, 0.0106813186813188)</f>
        <v>6.1386888973096552E-3</v>
      </c>
      <c r="AL211" s="68">
        <f>IF($Z$3="yes", 0.0498809523809508/$X211, 0.0498809523809508)</f>
        <v>2.8667214012040688E-2</v>
      </c>
      <c r="AM211" s="68">
        <f>IF($Z$3="yes", 0.0293629999999982/$X211, 0.0293629999999982)</f>
        <v>1.6875287356320805E-2</v>
      </c>
      <c r="AN211" s="68">
        <f>IF($Z$3="yes", 0.145324999999998/$X211, 0.145324999999998)</f>
        <v>8.352011494252759E-2</v>
      </c>
      <c r="AO211" s="68">
        <f>IF($Z$3="yes", 0.0757249999999982/$X211, 0.0757249999999982)</f>
        <v>4.35201149425277E-2</v>
      </c>
      <c r="AP211" s="68">
        <f>IF($Z$3="yes", 0.300440999999998/$X211, 0.300440999999998)</f>
        <v>0.17266724137930919</v>
      </c>
      <c r="AQ211" s="68">
        <f>IF($Z$3="yes", 0.320083857142855/$X211, 0.320083857142855)</f>
        <v>0.18395623973727299</v>
      </c>
      <c r="AR211" s="68">
        <f>IF($Z$3="yes", 0.326690999999998/$X211, 0.326690999999998)</f>
        <v>0.18775344827586093</v>
      </c>
      <c r="AS211" s="68">
        <f>IF($Z$3="yes", 0.115962/$X211, 0.115962)</f>
        <v>6.6644827586206892E-2</v>
      </c>
      <c r="AT211" s="68">
        <f>IF($Z$3="yes", 0.0463619999999997/$X211, 0.0463619999999997)</f>
        <v>2.6644827586206725E-2</v>
      </c>
      <c r="AU211" s="88">
        <f>IF($Z$3="yes", 0.271077999999999/$X211, 0.271077999999999)</f>
        <v>0.15579195402298793</v>
      </c>
      <c r="AV211" s="88">
        <f>IF($Z$3="yes", 0.290720857142856/$X211, 0.290720857142856)</f>
        <v>0.16708095238095172</v>
      </c>
      <c r="AW211" s="88">
        <f>IF($Z$3="yes", 0.297328/$X211, 0.297328)</f>
        <v>0.17087816091954022</v>
      </c>
      <c r="AX211" s="88">
        <f>IF($Z$3="yes", 0.0696000000000007/$X211, 0.0696000000000007)</f>
        <v>4.0000000000000403E-2</v>
      </c>
      <c r="AY211" s="88">
        <f>IF($Z$3="yes", 0.224716/$X211, 0.224716)</f>
        <v>0.12914712643678161</v>
      </c>
      <c r="AZ211" s="88">
        <f>IF($Z$3="yes", 0.244358857142857/$X211, 0.244358857142857)</f>
        <v>0.1404361247947454</v>
      </c>
      <c r="BA211" s="88">
        <f>IF($Z$3="yes", 0.250966/$X211, 0.250966)</f>
        <v>0.14423333333333335</v>
      </c>
      <c r="BB211" s="88">
        <f>IF($Z$3="yes", 0.155115999999999/$X211, 0.155115999999999)</f>
        <v>8.9147126436781035E-2</v>
      </c>
      <c r="BC211" s="88">
        <f>IF($Z$3="yes", 0.174758857142856/$X211, 0.174758857142856)</f>
        <v>0.10043612479474483</v>
      </c>
      <c r="BD211" s="88">
        <f>IF($Z$3="yes", 0.181365999999999/$X211, 0.181365999999999)</f>
        <v>0.10423333333333276</v>
      </c>
      <c r="BE211" s="88">
        <f>IF($Z$3="yes", 0.0196428571428568/$X211, 0.0196428571428568)</f>
        <v>1.1288998357963678E-2</v>
      </c>
      <c r="BF211" s="88">
        <f>IF($Z$3="yes", 0.0262500000000003/$X211, 0.0262500000000003)</f>
        <v>1.5086206896551897E-2</v>
      </c>
      <c r="BG211" s="88">
        <f>IF($Z$3="yes", 0.00660714285714347/$X211, 0.00660714285714347)</f>
        <v>3.7972085385882012E-3</v>
      </c>
      <c r="BH211" s="88">
        <f>IF($Z$3="yes", 0.25884406802721/$X211, 0.25884406802721)</f>
        <v>0.14876095863632757</v>
      </c>
      <c r="BI211" s="68"/>
      <c r="BJ211" s="68"/>
      <c r="BK211" s="68">
        <f>IF($BL$3="yes", MAX(0, (690492 - 1314906.6) / 594147.417939554), 1314906.6)</f>
        <v>1314906.6000000001</v>
      </c>
      <c r="BL211" s="68">
        <f>IF($BL$3="yes", MAX(0, (690492 - 914143.7) / 603803.604628533), 914143.7)</f>
        <v>914143.7</v>
      </c>
      <c r="BM211" s="68">
        <f>IF($BL$3="yes", MAX(0, (690492 - 1548086.3) / 2287945.53478849), 1548086.3)</f>
        <v>1548086.3</v>
      </c>
      <c r="BN211" s="68">
        <f>IF($BL$3="yes", MAX(0, (690492 - 752661.74) / 1598807.01812676), 752661.74)</f>
        <v>752661.74</v>
      </c>
      <c r="BO211" s="68">
        <f>IF($BL$3="yes", MAX(0, (690492 - 631650.89) / 2042936.00901502), 631650.89)</f>
        <v>631650.89</v>
      </c>
      <c r="BP211" s="68">
        <f>IF($BL$3="yes", MAX(0, (690492 - 348783.205) / 1472887.51449096), 348783.205)</f>
        <v>348783.20500000002</v>
      </c>
      <c r="BQ211" s="68">
        <v>69.401959286496549</v>
      </c>
      <c r="BR211" s="68"/>
      <c r="BS211" s="68"/>
      <c r="BT211" s="68">
        <v>-5145611.4232012723</v>
      </c>
      <c r="BU211" s="68">
        <v>277.05274507123983</v>
      </c>
      <c r="BV211" s="68">
        <f>IF($Z$3="yes", 0.148128526111877/$X211, 0.148128526111877)</f>
        <v>8.5131336845906319E-2</v>
      </c>
      <c r="BW211" s="68">
        <f>IF($Z$3="yes", 0.103744732120104/$X211, 0.103744732120104)</f>
        <v>5.9623409264427586E-2</v>
      </c>
      <c r="BX211" s="68">
        <f>$BW$146 - $BV$146</f>
        <v>0</v>
      </c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81"/>
      <c r="CR211" s="81"/>
      <c r="CS211" s="68"/>
      <c r="CT211" s="68"/>
      <c r="CU211" s="68"/>
    </row>
    <row r="212" spans="1:99" ht="15.75" customHeight="1" thickBot="1" x14ac:dyDescent="0.3">
      <c r="A212" s="84" t="s">
        <v>194</v>
      </c>
      <c r="B212" s="67" t="s">
        <v>128</v>
      </c>
      <c r="C212" s="83" t="s">
        <v>568</v>
      </c>
      <c r="D212" s="67" t="s">
        <v>571</v>
      </c>
      <c r="E212" s="67">
        <v>2</v>
      </c>
      <c r="F212" s="85">
        <v>3.45</v>
      </c>
      <c r="G212" s="313">
        <v>44232</v>
      </c>
      <c r="H212" s="317">
        <v>1.98</v>
      </c>
      <c r="I212" s="85">
        <v>6.3</v>
      </c>
      <c r="J212" s="313">
        <v>44245</v>
      </c>
      <c r="K212" s="125">
        <f t="shared" si="8"/>
        <v>-0.42608695652173911</v>
      </c>
      <c r="L212" s="217">
        <f t="shared" si="9"/>
        <v>0.82608695652173902</v>
      </c>
      <c r="M212" s="312">
        <v>44407</v>
      </c>
      <c r="N212" s="68"/>
      <c r="O212" s="291">
        <v>27191830</v>
      </c>
      <c r="P212" s="291">
        <v>25130000</v>
      </c>
      <c r="Q212" s="291">
        <v>11</v>
      </c>
      <c r="R212" s="68" t="s">
        <v>211</v>
      </c>
      <c r="S212" s="68" t="s">
        <v>281</v>
      </c>
      <c r="T212" s="68" t="s">
        <v>488</v>
      </c>
      <c r="U212" s="68">
        <v>248</v>
      </c>
      <c r="V212" s="68">
        <v>854921</v>
      </c>
      <c r="W212" s="68"/>
      <c r="X212" s="68">
        <v>3.45</v>
      </c>
      <c r="Y212" s="68" t="e">
        <v>#N/A</v>
      </c>
      <c r="Z212" s="68">
        <v>2.5697099999999988</v>
      </c>
      <c r="AA212" s="68">
        <v>2.7216199999999988</v>
      </c>
      <c r="AB212" s="68">
        <v>2.560820000000001</v>
      </c>
      <c r="AC212" s="68">
        <v>3.4115000000000011</v>
      </c>
      <c r="AD212" s="68">
        <v>3.21142857142857</v>
      </c>
      <c r="AE212" s="68">
        <v>3.2674999999999992</v>
      </c>
      <c r="AF212" s="68" t="e">
        <f>IF($Z$3="yes", #N/A/$X212, #N/A)</f>
        <v>#N/A</v>
      </c>
      <c r="AG212" s="68">
        <f>IF($Z$3="yes", 0.00809355535553572/$X212, 0.00809355535553572)</f>
        <v>2.3459580740683244E-3</v>
      </c>
      <c r="AH212" s="68">
        <f>IF($Z$3="yes", 0.0258516686674666/$X212, 0.0258516686674666)</f>
        <v>7.4932372949178547E-3</v>
      </c>
      <c r="AI212" s="68">
        <f>IF($Z$3="yes", 0.0157878031212479/$X212, 0.0157878031212479)</f>
        <v>4.5761748177530143E-3</v>
      </c>
      <c r="AJ212" s="68">
        <f>IF($Z$3="yes", -0.0357368421052635/$X212, -0.0357368421052635)</f>
        <v>-1.0358504958047391E-2</v>
      </c>
      <c r="AK212" s="68">
        <f>IF($Z$3="yes", 0.0233846153846158/$X212, 0.0233846153846158)</f>
        <v>6.778149386845159E-3</v>
      </c>
      <c r="AL212" s="68">
        <f>IF($Z$3="yes", 0.0585714285714287/$X212, 0.0585714285714287)</f>
        <v>1.6977225672877884E-2</v>
      </c>
      <c r="AM212" s="68"/>
      <c r="AN212" s="68"/>
      <c r="AO212" s="68"/>
      <c r="AP212" s="68"/>
      <c r="AQ212" s="68"/>
      <c r="AR212" s="68"/>
      <c r="AS212" s="68">
        <f>IF($Z$3="yes", 0.15191/$X212, 0.15191)</f>
        <v>4.403188405797101E-2</v>
      </c>
      <c r="AT212" s="68">
        <f>IF($Z$3="yes", 0.00888999999999828/$X212, 0.00888999999999828)</f>
        <v>2.5768115942023996E-3</v>
      </c>
      <c r="AU212" s="88">
        <f>IF($Z$3="yes", 0.841790000000002/$X212, 0.841790000000002)</f>
        <v>0.24399710144927594</v>
      </c>
      <c r="AV212" s="88">
        <f>IF($Z$3="yes", 0.641718571428571/$X212, 0.641718571428571)</f>
        <v>0.1860053830227742</v>
      </c>
      <c r="AW212" s="88">
        <f>IF($Z$3="yes", 0.69779/$X212, 0.69779)</f>
        <v>0.20225797101449275</v>
      </c>
      <c r="AX212" s="88">
        <f>IF($Z$3="yes", 0.160799999999998/$X212, 0.160799999999998)</f>
        <v>4.6608695652173328E-2</v>
      </c>
      <c r="AY212" s="88">
        <f>IF($Z$3="yes", 0.85068/$X212, 0.85068)</f>
        <v>0.24657391304347825</v>
      </c>
      <c r="AZ212" s="88">
        <f>IF($Z$3="yes", 0.650608571428569/$X212, 0.650608571428569)</f>
        <v>0.18858219461697651</v>
      </c>
      <c r="BA212" s="88">
        <f>IF($Z$3="yes", 0.706679999999998/$X212, 0.706679999999998)</f>
        <v>0.20483478260869506</v>
      </c>
      <c r="BB212" s="88">
        <f>IF($Z$3="yes", 0.689880000000001/$X212, 0.689880000000001)</f>
        <v>0.19996521739130463</v>
      </c>
      <c r="BC212" s="88">
        <f>IF($Z$3="yes", 0.489808571428571/$X212, 0.489808571428571)</f>
        <v>0.14197349896480319</v>
      </c>
      <c r="BD212" s="88">
        <f>IF($Z$3="yes", 0.545879999999999/$X212, 0.545879999999999)</f>
        <v>0.15822608695652146</v>
      </c>
      <c r="BE212" s="88">
        <f>IF($Z$3="yes", 0.20007142857143/$X212, 0.20007142857143)</f>
        <v>5.799171842650145E-2</v>
      </c>
      <c r="BF212" s="88">
        <f>IF($Z$3="yes", 0.144000000000001/$X212, 0.144000000000001)</f>
        <v>4.1739130434782896E-2</v>
      </c>
      <c r="BG212" s="88">
        <f>IF($Z$3="yes", 0.0560714285714287/$X212, 0.0560714285714287)</f>
        <v>1.6252587991718463E-2</v>
      </c>
      <c r="BH212" s="88">
        <f>IF($Z$3="yes", 0.634071768707483/$X212, 0.634071768707483)</f>
        <v>0.18378891846593712</v>
      </c>
      <c r="BI212" s="68"/>
      <c r="BJ212" s="68"/>
      <c r="BK212" s="68">
        <f>IF($BL$3="yes", MAX(0, (854921 - 658811.2) / 147331.239539209), 658811.2)</f>
        <v>658811.19999999995</v>
      </c>
      <c r="BL212" s="68">
        <f>IF($BL$3="yes", MAX(0, (854921 - 1673017) / 3437592.69540723), 1673017)</f>
        <v>1673017</v>
      </c>
      <c r="BM212" s="68">
        <f>IF($BL$3="yes", MAX(0, (854921 - 2419627.25) / 5520180.85634895), 2419627.25)</f>
        <v>2419627.25</v>
      </c>
      <c r="BN212" s="68">
        <f>IF($BL$3="yes", MAX(0, (854921 - 1068292.56) / 3663307.03609931), 1068292.56)</f>
        <v>1068292.56</v>
      </c>
      <c r="BO212" s="68">
        <f>IF($BL$3="yes", MAX(0, (854921 - 567204.19) / 2639396.06830534), 567204.19)</f>
        <v>567204.18999999994</v>
      </c>
      <c r="BP212" s="68">
        <f>IF($BL$3="yes", MAX(0, (854921 - 633067.512345679) / 2925087.79265031), 633067.512345679)</f>
        <v>633067.51234567899</v>
      </c>
      <c r="BQ212" s="68">
        <v>56.625506055776178</v>
      </c>
      <c r="BR212" s="68"/>
      <c r="BS212" s="68"/>
      <c r="BT212" s="68">
        <v>-43581951.085163809</v>
      </c>
      <c r="BU212" s="68">
        <v>-591831.32920208573</v>
      </c>
      <c r="BV212" s="68">
        <f>IF($Z$3="yes", 0.467107640174023/$X212, 0.467107640174023)</f>
        <v>0.13539351889102116</v>
      </c>
      <c r="BW212" s="68">
        <f>IF($Z$3="yes", 0.305077998883955/$X212, 0.305077998883955)</f>
        <v>8.8428405473610139E-2</v>
      </c>
      <c r="BX212" s="68">
        <f>$BW$150 - $BV$150</f>
        <v>0</v>
      </c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81"/>
      <c r="CR212" s="81"/>
      <c r="CS212" s="68"/>
      <c r="CT212" s="68"/>
      <c r="CU212" s="68"/>
    </row>
    <row r="213" spans="1:99" ht="15.75" customHeight="1" thickBot="1" x14ac:dyDescent="0.3">
      <c r="A213" s="84"/>
      <c r="B213" s="67" t="s">
        <v>128</v>
      </c>
      <c r="C213" s="83" t="s">
        <v>568</v>
      </c>
      <c r="D213" s="67" t="s">
        <v>572</v>
      </c>
      <c r="E213" s="67">
        <v>1</v>
      </c>
      <c r="F213" s="85">
        <v>3.99</v>
      </c>
      <c r="G213" s="313">
        <v>44232</v>
      </c>
      <c r="H213" s="317">
        <v>1.77</v>
      </c>
      <c r="I213" s="85">
        <v>4.4340000000000002</v>
      </c>
      <c r="J213" s="313">
        <v>44243</v>
      </c>
      <c r="K213" s="125">
        <f t="shared" si="8"/>
        <v>-0.5563909774436091</v>
      </c>
      <c r="L213" s="91">
        <f t="shared" si="9"/>
        <v>0.11127819548872186</v>
      </c>
      <c r="M213" s="312">
        <v>44407</v>
      </c>
      <c r="N213" s="68"/>
      <c r="O213" s="291">
        <v>28833059</v>
      </c>
      <c r="P213" s="291">
        <v>25760000</v>
      </c>
      <c r="Q213" s="291">
        <v>9</v>
      </c>
      <c r="R213" s="68" t="s">
        <v>131</v>
      </c>
      <c r="S213" s="68" t="s">
        <v>148</v>
      </c>
      <c r="T213" s="68" t="s">
        <v>154</v>
      </c>
      <c r="U213" s="68">
        <v>532</v>
      </c>
      <c r="V213" s="68">
        <v>6543559</v>
      </c>
      <c r="W213" s="68"/>
      <c r="X213" s="68">
        <v>3.99</v>
      </c>
      <c r="Y213" s="68">
        <v>3.9688525000000041</v>
      </c>
      <c r="Z213" s="68">
        <v>3.899249999999995</v>
      </c>
      <c r="AA213" s="68">
        <v>3.456200000000003</v>
      </c>
      <c r="AB213" s="68">
        <v>3.4476000000000022</v>
      </c>
      <c r="AC213" s="68">
        <v>3.5005000000000002</v>
      </c>
      <c r="AD213" s="68">
        <v>3.5114285714285711</v>
      </c>
      <c r="AE213" s="68">
        <v>3.5612499999999998</v>
      </c>
      <c r="AF213" s="68">
        <f>IF($Z$3="yes", 0.00212033398334945/$X213, 0.00212033398334945)</f>
        <v>5.3141202590211779E-4</v>
      </c>
      <c r="AG213" s="68">
        <f>IF($Z$3="yes", -0.0176520552055201/$X213, -0.0176520552055201)</f>
        <v>-4.4240739863458901E-3</v>
      </c>
      <c r="AH213" s="68">
        <f>IF($Z$3="yes", -0.000854261704682264/$X213, -0.000854261704682264)</f>
        <v>-2.1410067786522906E-4</v>
      </c>
      <c r="AI213" s="68">
        <f>IF($Z$3="yes", -0.00476158463385376/$X213, -0.00476158463385376)</f>
        <v>-1.1933796074821454E-3</v>
      </c>
      <c r="AJ213" s="68">
        <f>IF($Z$3="yes", 0.0103684210526316/$X213, 0.0103684210526316)</f>
        <v>2.5986017675768418E-3</v>
      </c>
      <c r="AK213" s="68">
        <f>IF($Z$3="yes", 0.0231648351648359/$X213, 0.0231648351648359)</f>
        <v>5.8057230989563653E-3</v>
      </c>
      <c r="AL213" s="68">
        <f>IF($Z$3="yes", 0.0434523809523779/$X213, 0.0434523809523779)</f>
        <v>1.0890321040696215E-2</v>
      </c>
      <c r="AM213" s="68">
        <f>IF($Z$3="yes", 0.0696025000000091/$X213, 0.0696025000000091)</f>
        <v>1.7444235588974712E-2</v>
      </c>
      <c r="AN213" s="68">
        <f>IF($Z$3="yes", 0.512652500000001/$X213, 0.512652500000001)</f>
        <v>0.12848433583959923</v>
      </c>
      <c r="AO213" s="68">
        <f>IF($Z$3="yes", 0.521252500000001/$X213, 0.521252500000001)</f>
        <v>0.13063972431077719</v>
      </c>
      <c r="AP213" s="68">
        <f>IF($Z$3="yes", 0.468352500000003/$X213, 0.468352500000003)</f>
        <v>0.11738157894736917</v>
      </c>
      <c r="AQ213" s="68">
        <f>IF($Z$3="yes", 0.457423928571433/$X213, 0.457423928571433)</f>
        <v>0.11464258861439423</v>
      </c>
      <c r="AR213" s="68">
        <f>IF($Z$3="yes", 0.407602500000004/$X213, 0.407602500000004)</f>
        <v>0.10215601503759497</v>
      </c>
      <c r="AS213" s="68">
        <f>IF($Z$3="yes", 0.443049999999992/$X213, 0.443049999999992)</f>
        <v>0.11104010025062455</v>
      </c>
      <c r="AT213" s="68">
        <f>IF($Z$3="yes", 0.451649999999993/$X213, 0.451649999999993)</f>
        <v>0.11319548872180275</v>
      </c>
      <c r="AU213" s="88">
        <f>IF($Z$3="yes", 0.398749999999995/$X213, 0.398749999999995)</f>
        <v>9.9937343358394728E-2</v>
      </c>
      <c r="AV213" s="88">
        <f>IF($Z$3="yes", 0.387821428571424/$X213, 0.387821428571424)</f>
        <v>9.7198353025419543E-2</v>
      </c>
      <c r="AW213" s="88">
        <f>IF($Z$3="yes", 0.337999999999995/$X213, 0.337999999999995)</f>
        <v>8.4711779448620309E-2</v>
      </c>
      <c r="AX213" s="88">
        <f>IF($Z$3="yes", 0.00860000000000038/$X213, 0.00860000000000038)</f>
        <v>2.15538847117804E-3</v>
      </c>
      <c r="AY213" s="88">
        <f>IF($Z$3="yes", 0.0528999999999975/$X213, 0.0528999999999975)</f>
        <v>1.3258145363407893E-2</v>
      </c>
      <c r="AZ213" s="88">
        <f>IF($Z$3="yes", 0.0638285714285684/$X213, 0.0638285714285684)</f>
        <v>1.5997135696383058E-2</v>
      </c>
      <c r="BA213" s="88">
        <f>IF($Z$3="yes", 0.113649999999998/$X213, 0.113649999999998)</f>
        <v>2.8483709273182455E-2</v>
      </c>
      <c r="BB213" s="88">
        <f>IF($Z$3="yes", 0.0442999999999971/$X213, 0.0442999999999971)</f>
        <v>1.1102756892229849E-2</v>
      </c>
      <c r="BC213" s="88">
        <f>IF($Z$3="yes", 0.055228571428568/$X213, 0.055228571428568)</f>
        <v>1.3841747225205011E-2</v>
      </c>
      <c r="BD213" s="88">
        <f>IF($Z$3="yes", 0.105049999999997/$X213, 0.105049999999997)</f>
        <v>2.632832080200426E-2</v>
      </c>
      <c r="BE213" s="88">
        <f>IF($Z$3="yes", 0.0109285714285709/$X213, 0.0109285714285709)</f>
        <v>2.7389903329751628E-3</v>
      </c>
      <c r="BF213" s="88">
        <f>IF($Z$3="yes", 0.0607500000000005/$X213, 0.0607500000000005)</f>
        <v>1.522556390977456E-2</v>
      </c>
      <c r="BG213" s="88">
        <f>IF($Z$3="yes", 0.0498214285714295/$X213, 0.0498214285714295)</f>
        <v>1.2486573576799373E-2</v>
      </c>
      <c r="BH213" s="88">
        <f>IF($Z$3="yes", 0.459857482993195/$X213, 0.459857482993195)</f>
        <v>0.11525250200330701</v>
      </c>
      <c r="BI213" s="68"/>
      <c r="BJ213" s="68"/>
      <c r="BK213" s="68">
        <f>IF($BL$3="yes", MAX(0, (6543559 - 3648519) / 2585113.28530546), 3648519)</f>
        <v>3648519</v>
      </c>
      <c r="BL213" s="68">
        <f>IF($BL$3="yes", MAX(0, (6543559 - 3264117.4) / 2493641.3734425), 3264117.4)</f>
        <v>3264117.4</v>
      </c>
      <c r="BM213" s="68">
        <f>IF($BL$3="yes", MAX(0, (6543559 - 2309045.55) / 2091312.96906305), 2309045.55)</f>
        <v>2309045.5499999998</v>
      </c>
      <c r="BN213" s="68">
        <f>IF($BL$3="yes", MAX(0, (6543559 - 1880606.46) / 2347494.499636), 1880606.46)</f>
        <v>1880606.46</v>
      </c>
      <c r="BO213" s="68">
        <f>IF($BL$3="yes", MAX(0, (6543559 - 1325684.74) / 1769683.14803005), 1325684.74)</f>
        <v>1325684.74</v>
      </c>
      <c r="BP213" s="68">
        <f>IF($BL$3="yes", MAX(0, (6543559 - 4669164.635) / 14321737.0424787), 4669164.635)</f>
        <v>4669164.6349999998</v>
      </c>
      <c r="BQ213" s="68">
        <v>66.152854003799206</v>
      </c>
      <c r="BR213" s="68"/>
      <c r="BS213" s="68"/>
      <c r="BT213" s="68">
        <v>-30105207.549186021</v>
      </c>
      <c r="BU213" s="68">
        <v>2763352.2470159489</v>
      </c>
      <c r="BV213" s="68">
        <f>IF($Z$3="yes", 0.299313489179915/$X213, 0.299313489179915)</f>
        <v>7.5015912075166669E-2</v>
      </c>
      <c r="BW213" s="68">
        <f>IF($Z$3="yes", 0.262244917016077/$X213, 0.262244917016077)</f>
        <v>6.5725543111798748E-2</v>
      </c>
      <c r="BX213" s="68">
        <f>$BW$152 - $BV$152</f>
        <v>0</v>
      </c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81"/>
      <c r="CR213" s="81"/>
      <c r="CS213" s="68"/>
      <c r="CT213" s="68"/>
      <c r="CU213" s="68"/>
    </row>
    <row r="214" spans="1:99" ht="15.75" customHeight="1" thickBot="1" x14ac:dyDescent="0.3">
      <c r="A214" s="84" t="s">
        <v>194</v>
      </c>
      <c r="B214" s="67" t="s">
        <v>128</v>
      </c>
      <c r="C214" s="83" t="s">
        <v>568</v>
      </c>
      <c r="D214" s="67" t="s">
        <v>573</v>
      </c>
      <c r="E214" s="67">
        <v>2</v>
      </c>
      <c r="F214" s="85">
        <v>1.39</v>
      </c>
      <c r="G214" s="313">
        <v>44232</v>
      </c>
      <c r="H214" s="317">
        <v>0.92</v>
      </c>
      <c r="I214" s="85">
        <v>2.99</v>
      </c>
      <c r="J214" s="313">
        <v>44244</v>
      </c>
      <c r="K214" s="125">
        <f t="shared" si="8"/>
        <v>-0.33812949640287759</v>
      </c>
      <c r="L214" s="218">
        <f t="shared" si="9"/>
        <v>1.1510791366906479</v>
      </c>
      <c r="M214" s="312">
        <v>44407</v>
      </c>
      <c r="N214" s="68"/>
      <c r="O214" s="291">
        <v>36058816</v>
      </c>
      <c r="P214" s="291">
        <v>25900000</v>
      </c>
      <c r="Q214" s="291">
        <v>10</v>
      </c>
      <c r="R214" s="68" t="s">
        <v>152</v>
      </c>
      <c r="S214" s="68" t="s">
        <v>281</v>
      </c>
      <c r="T214" s="68" t="s">
        <v>297</v>
      </c>
      <c r="U214" s="68">
        <v>188</v>
      </c>
      <c r="V214" s="68">
        <v>2594454</v>
      </c>
      <c r="W214" s="68"/>
      <c r="X214" s="68">
        <v>1.39</v>
      </c>
      <c r="Y214" s="68">
        <v>1.0559644999999991</v>
      </c>
      <c r="Z214" s="68">
        <v>1.013358</v>
      </c>
      <c r="AA214" s="68">
        <v>1.075402</v>
      </c>
      <c r="AB214" s="68">
        <v>0.99611199999999966</v>
      </c>
      <c r="AC214" s="68">
        <v>1.2144999999999999</v>
      </c>
      <c r="AD214" s="68">
        <v>1.2371428571428571</v>
      </c>
      <c r="AE214" s="68">
        <v>1.27</v>
      </c>
      <c r="AF214" s="68">
        <f>IF($Z$3="yes", -0.000544112277806842/$X214, -0.000544112277806842)</f>
        <v>-3.9144768187542592E-4</v>
      </c>
      <c r="AG214" s="68">
        <f>IF($Z$3="yes", 0.00271530873087303/$X214, 0.00271530873087303)</f>
        <v>1.9534595186136909E-3</v>
      </c>
      <c r="AH214" s="68">
        <f>IF($Z$3="yes", 0.00775328211284528/$X214, 0.00775328211284528)</f>
        <v>5.5779008006081156E-3</v>
      </c>
      <c r="AI214" s="68">
        <f>IF($Z$3="yes", 0.00596468667467003/$X214, 0.00596468667467003)</f>
        <v>4.2911414925683672E-3</v>
      </c>
      <c r="AJ214" s="68">
        <f>IF($Z$3="yes", 0.00967669172932322/$X214, 0.00967669172932322)</f>
        <v>6.9616487261318126E-3</v>
      </c>
      <c r="AK214" s="68">
        <f>IF($Z$3="yes", 0.0144175824175824/$X214, 0.0144175824175824)</f>
        <v>1.0372361451498129E-2</v>
      </c>
      <c r="AL214" s="68">
        <f>IF($Z$3="yes", 0.026190476190476/$X214, 0.026190476190476)</f>
        <v>1.8842069201781296E-2</v>
      </c>
      <c r="AM214" s="68">
        <f>IF($Z$3="yes", 0.0426064999999988/$X214, 0.0426064999999988)</f>
        <v>3.0652158273380432E-2</v>
      </c>
      <c r="AN214" s="68">
        <f>IF($Z$3="yes", 0.0194375000000011/$X214, 0.0194375000000011)</f>
        <v>1.3983812949641079E-2</v>
      </c>
      <c r="AO214" s="68">
        <f>IF($Z$3="yes", 0.0598524999999992/$X214, 0.0598524999999992)</f>
        <v>4.3059352517985039E-2</v>
      </c>
      <c r="AP214" s="68">
        <f>IF($Z$3="yes", 0.158535500000001/$X214, 0.158535500000001)</f>
        <v>0.11405431654676332</v>
      </c>
      <c r="AQ214" s="68">
        <f>IF($Z$3="yes", 0.181178357142858/$X214, 0.181178357142858)</f>
        <v>0.13034414182939424</v>
      </c>
      <c r="AR214" s="68">
        <f>IF($Z$3="yes", 0.214035500000001/$X214, 0.214035500000001)</f>
        <v>0.15398237410072016</v>
      </c>
      <c r="AS214" s="68">
        <f>IF($Z$3="yes", 0.0620439999999995/$X214, 0.0620439999999995)</f>
        <v>4.463597122302123E-2</v>
      </c>
      <c r="AT214" s="68">
        <f>IF($Z$3="yes", 0.0172460000000005/$X214, 0.0172460000000005)</f>
        <v>1.2407194244604677E-2</v>
      </c>
      <c r="AU214" s="88">
        <f>IF($Z$3="yes", 0.201141999999999/$X214, 0.201141999999999)</f>
        <v>0.14470647482014318</v>
      </c>
      <c r="AV214" s="88">
        <f>IF($Z$3="yes", 0.223784857142856/$X214, 0.223784857142856)</f>
        <v>0.16099630010277413</v>
      </c>
      <c r="AW214" s="88">
        <f>IF($Z$3="yes", 0.256642/$X214, 0.256642)</f>
        <v>0.18463453237410071</v>
      </c>
      <c r="AX214" s="88">
        <f>IF($Z$3="yes", 0.07929/$X214, 0.07929)</f>
        <v>5.7043165467625903E-2</v>
      </c>
      <c r="AY214" s="88">
        <f>IF($Z$3="yes", 0.218388/$X214, 0.218388)</f>
        <v>0.15711366906474822</v>
      </c>
      <c r="AZ214" s="88">
        <f>IF($Z$3="yes", 0.241030857142857/$X214, 0.241030857142857)</f>
        <v>0.17340349434737914</v>
      </c>
      <c r="BA214" s="88">
        <f>IF($Z$3="yes", 0.273888/$X214, 0.273888)</f>
        <v>0.19704172661870506</v>
      </c>
      <c r="BB214" s="88">
        <f>IF($Z$3="yes", 0.139098/$X214, 0.139098)</f>
        <v>0.10007050359712232</v>
      </c>
      <c r="BC214" s="88">
        <f>IF($Z$3="yes", 0.161740857142857/$X214, 0.161740857142857)</f>
        <v>0.11636032887975324</v>
      </c>
      <c r="BD214" s="88">
        <f>IF($Z$3="yes", 0.194598/$X214, 0.194598)</f>
        <v>0.13999856115107914</v>
      </c>
      <c r="BE214" s="88">
        <f>IF($Z$3="yes", 0.0226428571428567/$X214, 0.0226428571428567)</f>
        <v>1.6289825282630722E-2</v>
      </c>
      <c r="BF214" s="88">
        <f>IF($Z$3="yes", 0.0555000000000001/$X214, 0.0555000000000001)</f>
        <v>3.9928057553956911E-2</v>
      </c>
      <c r="BG214" s="88">
        <f>IF($Z$3="yes", 0.0328571428571433/$X214, 0.0328571428571433)</f>
        <v>2.3638232271326116E-2</v>
      </c>
      <c r="BH214" s="88">
        <f>IF($Z$3="yes", 0.223192163265306/$X214, 0.223192163265306)</f>
        <v>0.16056990162971654</v>
      </c>
      <c r="BI214" s="68"/>
      <c r="BJ214" s="68"/>
      <c r="BK214" s="68">
        <f>IF($BL$3="yes", MAX(0, (2594454 - 1015993.2) / 795328.203443433), 1015993.2)</f>
        <v>1015993.2</v>
      </c>
      <c r="BL214" s="68">
        <f>IF($BL$3="yes", MAX(0, (2594454 - 1240004) / 882108.77257014), 1240004)</f>
        <v>1240004</v>
      </c>
      <c r="BM214" s="68">
        <f>IF($BL$3="yes", MAX(0, (2594454 - 1094405.6) / 1474515.94935875), 1094405.6)</f>
        <v>1094405.6000000001</v>
      </c>
      <c r="BN214" s="68">
        <f>IF($BL$3="yes", MAX(0, (2594454 - 620891.98) / 1029996.11856626), 620891.98)</f>
        <v>620891.98</v>
      </c>
      <c r="BO214" s="68">
        <f>IF($BL$3="yes", MAX(0, (2594454 - 410078.39) / 779068.362206974), 410078.39)</f>
        <v>410078.39</v>
      </c>
      <c r="BP214" s="68">
        <f>IF($BL$3="yes", MAX(0, (2594454 - 406638.095) / 1334265.32162995), 406638.095)</f>
        <v>406638.09499999997</v>
      </c>
      <c r="BQ214" s="68">
        <v>66.130375164139267</v>
      </c>
      <c r="BR214" s="68"/>
      <c r="BS214" s="68"/>
      <c r="BT214" s="68">
        <v>-6188157.6902968884</v>
      </c>
      <c r="BU214" s="68">
        <v>-737173.33401134145</v>
      </c>
      <c r="BV214" s="68">
        <f>IF($Z$3="yes", 0.150792001621797/$X214, 0.150792001621797)</f>
        <v>0.10848345440417052</v>
      </c>
      <c r="BW214" s="68">
        <f>IF($Z$3="yes", 0.0926573468245114/$X214, 0.0926573468245114)</f>
        <v>6.6659961744252816E-2</v>
      </c>
      <c r="BX214" s="68">
        <f>$BW$151 - $BV$151</f>
        <v>0</v>
      </c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81"/>
      <c r="CR214" s="81"/>
      <c r="CS214" s="68"/>
      <c r="CT214" s="68"/>
      <c r="CU214" s="68"/>
    </row>
    <row r="215" spans="1:99" ht="15.75" customHeight="1" thickBot="1" x14ac:dyDescent="0.3">
      <c r="A215" s="84" t="s">
        <v>194</v>
      </c>
      <c r="B215" s="67" t="s">
        <v>128</v>
      </c>
      <c r="C215" s="83" t="s">
        <v>568</v>
      </c>
      <c r="D215" s="67" t="s">
        <v>574</v>
      </c>
      <c r="E215" s="67">
        <v>2</v>
      </c>
      <c r="F215" s="85">
        <v>2</v>
      </c>
      <c r="G215" s="313">
        <v>44232</v>
      </c>
      <c r="H215" s="317">
        <v>0.87</v>
      </c>
      <c r="I215" s="85">
        <v>2.37</v>
      </c>
      <c r="J215" s="313">
        <v>44237</v>
      </c>
      <c r="K215" s="125">
        <f t="shared" si="8"/>
        <v>-0.56499999999999995</v>
      </c>
      <c r="L215" s="168">
        <f t="shared" si="9"/>
        <v>0.18500000000000005</v>
      </c>
      <c r="M215" s="312">
        <v>44407</v>
      </c>
      <c r="N215" s="68"/>
      <c r="O215" s="291">
        <v>42874097</v>
      </c>
      <c r="P215" s="291">
        <v>26430000</v>
      </c>
      <c r="Q215" s="291">
        <v>3</v>
      </c>
      <c r="R215" s="68" t="s">
        <v>152</v>
      </c>
      <c r="S215" s="68" t="s">
        <v>148</v>
      </c>
      <c r="T215" s="67" t="s">
        <v>575</v>
      </c>
      <c r="U215" s="68">
        <v>684</v>
      </c>
      <c r="V215" s="68">
        <v>6038720</v>
      </c>
      <c r="W215" s="68"/>
      <c r="X215" s="68">
        <v>2</v>
      </c>
      <c r="Y215" s="68">
        <v>1.7840219999999971</v>
      </c>
      <c r="Z215" s="68">
        <v>2.126001</v>
      </c>
      <c r="AA215" s="68">
        <v>1.673400000000002</v>
      </c>
      <c r="AB215" s="68">
        <v>1.8824000000000021</v>
      </c>
      <c r="AC215" s="68">
        <v>1.8165</v>
      </c>
      <c r="AD215" s="68">
        <v>1.8664285714285711</v>
      </c>
      <c r="AE215" s="68">
        <v>1.8425000000000009</v>
      </c>
      <c r="AF215" s="68">
        <f>IF($Z$3="yes", 0.00536425185629666/$X215, 0.00536425185629666)</f>
        <v>2.6821259281483299E-3</v>
      </c>
      <c r="AG215" s="68">
        <f>IF($Z$3="yes", -0.0113615715571556/$X215, -0.0113615715571556)</f>
        <v>-5.6807857785778001E-3</v>
      </c>
      <c r="AH215" s="68">
        <f>IF($Z$3="yes", 0.00302184873949551/$X215, 0.00302184873949551)</f>
        <v>1.5109243697477551E-3</v>
      </c>
      <c r="AI215" s="68">
        <f>IF($Z$3="yes", -0.0275620648259305/$X215, -0.0275620648259305)</f>
        <v>-1.3781032412965249E-2</v>
      </c>
      <c r="AJ215" s="68">
        <f>IF($Z$3="yes", 0.0136165413533838/$X215, 0.0136165413533838)</f>
        <v>6.8082706766919004E-3</v>
      </c>
      <c r="AK215" s="68">
        <f>IF($Z$3="yes", 0.00318681318681378/$X215, 0.00318681318681378)</f>
        <v>1.5934065934068899E-3</v>
      </c>
      <c r="AL215" s="68">
        <f>IF($Z$3="yes", 0.0380952380952396/$X215, 0.0380952380952396)</f>
        <v>1.9047619047619799E-2</v>
      </c>
      <c r="AM215" s="68">
        <f>IF($Z$3="yes", 0.341979000000003/$X215, 0.341979000000003)</f>
        <v>0.17098950000000149</v>
      </c>
      <c r="AN215" s="68">
        <f>IF($Z$3="yes", 0.110621999999994/$X215, 0.110621999999994)</f>
        <v>5.5310999999997001E-2</v>
      </c>
      <c r="AO215" s="68">
        <f>IF($Z$3="yes", 0.0983780000000054/$X215, 0.0983780000000054)</f>
        <v>4.9189000000002703E-2</v>
      </c>
      <c r="AP215" s="68">
        <f>IF($Z$3="yes", 0.0324780000000033/$X215, 0.0324780000000033)</f>
        <v>1.6239000000001651E-2</v>
      </c>
      <c r="AQ215" s="68">
        <f>IF($Z$3="yes", 0.0824065714285744/$X215, 0.0824065714285744)</f>
        <v>4.1203285714287198E-2</v>
      </c>
      <c r="AR215" s="68">
        <f>IF($Z$3="yes", 0.0584780000000042/$X215, 0.0584780000000042)</f>
        <v>2.92390000000021E-2</v>
      </c>
      <c r="AS215" s="68">
        <f>IF($Z$3="yes", 0.452600999999998/$X215, 0.452600999999998)</f>
        <v>0.22630049999999899</v>
      </c>
      <c r="AT215" s="68">
        <f>IF($Z$3="yes", 0.243600999999998/$X215, 0.243600999999998)</f>
        <v>0.12180049999999901</v>
      </c>
      <c r="AU215" s="88">
        <f>IF($Z$3="yes", 0.309501/$X215, 0.309501)</f>
        <v>0.15475050000000001</v>
      </c>
      <c r="AV215" s="88">
        <f>IF($Z$3="yes", 0.259572428571428/$X215, 0.259572428571428)</f>
        <v>0.12978621428571399</v>
      </c>
      <c r="AW215" s="88">
        <f>IF($Z$3="yes", 0.283500999999999/$X215, 0.283500999999999)</f>
        <v>0.1417504999999995</v>
      </c>
      <c r="AX215" s="88">
        <f>IF($Z$3="yes", 0.209/$X215, 0.209)</f>
        <v>0.1045</v>
      </c>
      <c r="AY215" s="88">
        <f>IF($Z$3="yes", 0.065900000000002/$X215, 0.065900000000002)</f>
        <v>3.2950000000000999E-2</v>
      </c>
      <c r="AZ215" s="88">
        <f>IF($Z$3="yes", 0.0159714285714305/$X215, 0.0159714285714305)</f>
        <v>7.9857142857152497E-3</v>
      </c>
      <c r="BA215" s="88">
        <f>IF($Z$3="yes", 0.0399000000000009/$X215, 0.0399000000000009)</f>
        <v>1.995000000000045E-2</v>
      </c>
      <c r="BB215" s="88">
        <f>IF($Z$3="yes", 0.143099999999998/$X215, 0.143099999999998)</f>
        <v>7.1549999999999003E-2</v>
      </c>
      <c r="BC215" s="88">
        <f>IF($Z$3="yes", 0.193028571428569/$X215, 0.193028571428569)</f>
        <v>9.6514285714284498E-2</v>
      </c>
      <c r="BD215" s="88">
        <f>IF($Z$3="yes", 0.169099999999999/$X215, 0.169099999999999)</f>
        <v>8.4549999999999501E-2</v>
      </c>
      <c r="BE215" s="88">
        <f>IF($Z$3="yes", 0.0499285714285715/$X215, 0.0499285714285715)</f>
        <v>2.4964285714285751E-2</v>
      </c>
      <c r="BF215" s="88">
        <f>IF($Z$3="yes", 0.0260000000000011/$X215, 0.0260000000000011)</f>
        <v>1.3000000000000549E-2</v>
      </c>
      <c r="BG215" s="88">
        <f>IF($Z$3="yes", 0.0239285714285704/$X215, 0.0239285714285704)</f>
        <v>1.19642857142852E-2</v>
      </c>
      <c r="BH215" s="88">
        <f>IF($Z$3="yes", 0.294931530612244/$X215, 0.294931530612244)</f>
        <v>0.14746576530612199</v>
      </c>
      <c r="BI215" s="68"/>
      <c r="BJ215" s="68"/>
      <c r="BK215" s="68">
        <f>IF($BL$3="yes", MAX(0, (6038720 - 5171544.6) / 2372200.2919212), 5171544.6)</f>
        <v>5171544.5999999996</v>
      </c>
      <c r="BL215" s="68">
        <f>IF($BL$3="yes", MAX(0, (6038720 - 5340558.4) / 2958120.79510915), 5340558.4)</f>
        <v>5340558.4000000004</v>
      </c>
      <c r="BM215" s="68">
        <f>IF($BL$3="yes", MAX(0, (6038720 - 5492377.75) / 3302767.85700466), 5492377.75)</f>
        <v>5492377.75</v>
      </c>
      <c r="BN215" s="68">
        <f>IF($BL$3="yes", MAX(0, (6038720 - 4491882.44) / 4499417.74081546), 4491882.44)</f>
        <v>4491882.4400000004</v>
      </c>
      <c r="BO215" s="68">
        <f>IF($BL$3="yes", MAX(0, (6038720 - 3619095.94) / 7331472.73177086), 3619095.94)</f>
        <v>3619095.94</v>
      </c>
      <c r="BP215" s="68">
        <f>IF($BL$3="yes", MAX(0, (6038720 - 1939573.285) / 5464493.91224688), 1939573.285)</f>
        <v>1939573.2849999999</v>
      </c>
      <c r="BQ215" s="68">
        <v>60.360409650731448</v>
      </c>
      <c r="BR215" s="68"/>
      <c r="BS215" s="68"/>
      <c r="BT215" s="68">
        <v>18221845.37443611</v>
      </c>
      <c r="BU215" s="68">
        <v>-727611.80340301991</v>
      </c>
      <c r="BV215" s="68">
        <f>IF($Z$3="yes", 0.179294407891706/$X215, 0.179294407891706)</f>
        <v>8.9647203945853002E-2</v>
      </c>
      <c r="BW215" s="68">
        <f>IF($Z$3="yes", 0.244163399180643/$X215, 0.244163399180643)</f>
        <v>0.1220816995903215</v>
      </c>
      <c r="BX215" s="68">
        <f>$BW$154 - $BV$154</f>
        <v>0</v>
      </c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81"/>
      <c r="CR215" s="81"/>
      <c r="CS215" s="68"/>
      <c r="CT215" s="68"/>
      <c r="CU215" s="68"/>
    </row>
    <row r="216" spans="1:99" ht="15.75" customHeight="1" thickBot="1" x14ac:dyDescent="0.3">
      <c r="A216" s="84" t="s">
        <v>194</v>
      </c>
      <c r="B216" s="67" t="s">
        <v>128</v>
      </c>
      <c r="C216" s="83" t="s">
        <v>568</v>
      </c>
      <c r="D216" s="67" t="s">
        <v>576</v>
      </c>
      <c r="E216" s="67">
        <v>1</v>
      </c>
      <c r="F216" s="85">
        <v>1.8</v>
      </c>
      <c r="G216" s="313">
        <v>44232</v>
      </c>
      <c r="H216" s="317">
        <v>8.8000000000000007</v>
      </c>
      <c r="I216" s="317">
        <v>29</v>
      </c>
      <c r="J216" s="313">
        <v>44389</v>
      </c>
      <c r="K216" s="219">
        <f t="shared" si="8"/>
        <v>3.8888888888888893</v>
      </c>
      <c r="L216" s="220">
        <f t="shared" si="9"/>
        <v>15.111111111111111</v>
      </c>
      <c r="M216" s="312">
        <v>44407</v>
      </c>
      <c r="N216" s="68"/>
      <c r="O216" s="291">
        <v>96098647</v>
      </c>
      <c r="P216" s="291">
        <v>51110000</v>
      </c>
      <c r="Q216" s="291">
        <v>157</v>
      </c>
      <c r="R216" s="68" t="s">
        <v>211</v>
      </c>
      <c r="S216" s="68" t="s">
        <v>148</v>
      </c>
      <c r="T216" s="68" t="s">
        <v>144</v>
      </c>
      <c r="U216" s="68">
        <v>32</v>
      </c>
      <c r="V216" s="68">
        <v>226544</v>
      </c>
      <c r="W216" s="68"/>
      <c r="X216" s="68">
        <v>1.8</v>
      </c>
      <c r="Y216" s="68">
        <v>1.1058289999999991</v>
      </c>
      <c r="Z216" s="68">
        <v>1.2069939999999999</v>
      </c>
      <c r="AA216" s="68">
        <v>1.4213979999999999</v>
      </c>
      <c r="AB216" s="68">
        <v>1.2968120000000001</v>
      </c>
      <c r="AC216" s="68">
        <v>1.698</v>
      </c>
      <c r="AD216" s="68">
        <v>1.694285714285714</v>
      </c>
      <c r="AE216" s="68">
        <v>1.6950000000000001</v>
      </c>
      <c r="AF216" s="68">
        <f>IF($Z$3="yes", 0.00258125673141833/$X216, 0.00258125673141833)</f>
        <v>1.4340315174546279E-3</v>
      </c>
      <c r="AG216" s="68">
        <f>IF($Z$3="yes", 0.00878930933093312/$X216, 0.00878930933093312)</f>
        <v>4.8829496282961774E-3</v>
      </c>
      <c r="AH216" s="68">
        <f>IF($Z$3="yes", 0.0142060072028809/$X216, 0.0142060072028809)</f>
        <v>7.8922262238227212E-3</v>
      </c>
      <c r="AI216" s="68">
        <f>IF($Z$3="yes", 0.0127379783913564/$X216, 0.0127379783913564)</f>
        <v>7.0766546618646663E-3</v>
      </c>
      <c r="AJ216" s="68">
        <f>IF($Z$3="yes", -0.000120300751879931/$X216, -0.000120300751879931)</f>
        <v>-6.6833751044406112E-5</v>
      </c>
      <c r="AK216" s="68">
        <f>IF($Z$3="yes", 0.00562637362637407/$X216, 0.00562637362637407)</f>
        <v>3.1257631257633721E-3</v>
      </c>
      <c r="AL216" s="68">
        <f>IF($Z$3="yes", 0.0164285714285708/$X216, 0.0164285714285708)</f>
        <v>9.1269841269837771E-3</v>
      </c>
      <c r="AM216" s="68">
        <f>IF($Z$3="yes", 0.101165/$X216, 0.101165)</f>
        <v>5.6202777777777782E-2</v>
      </c>
      <c r="AN216" s="68">
        <f>IF($Z$3="yes", 0.315569/$X216, 0.315569)</f>
        <v>0.17531611111111109</v>
      </c>
      <c r="AO216" s="68">
        <f>IF($Z$3="yes", 0.190983/$X216, 0.190983)</f>
        <v>0.10610166666666668</v>
      </c>
      <c r="AP216" s="68">
        <f>IF($Z$3="yes", 0.592171/$X216, 0.592171)</f>
        <v>0.32898388888888891</v>
      </c>
      <c r="AQ216" s="68">
        <f>IF($Z$3="yes", 0.588456714285714/$X216, 0.588456714285714)</f>
        <v>0.32692039682539664</v>
      </c>
      <c r="AR216" s="68">
        <f>IF($Z$3="yes", 0.589171/$X216, 0.589171)</f>
        <v>0.3273172222222222</v>
      </c>
      <c r="AS216" s="68">
        <f>IF($Z$3="yes", 0.214404/$X216, 0.214404)</f>
        <v>0.11911333333333333</v>
      </c>
      <c r="AT216" s="68">
        <f>IF($Z$3="yes", 0.0898180000000004/$X216, 0.0898180000000004)</f>
        <v>4.9898888888889111E-2</v>
      </c>
      <c r="AU216" s="88">
        <f>IF($Z$3="yes", 0.491005999999999/$X216, 0.491005999999999)</f>
        <v>0.27278111111111053</v>
      </c>
      <c r="AV216" s="88">
        <f>IF($Z$3="yes", 0.487291714285714/$X216, 0.487291714285714)</f>
        <v>0.27071761904761887</v>
      </c>
      <c r="AW216" s="88">
        <f>IF($Z$3="yes", 0.488006/$X216, 0.488006)</f>
        <v>0.27111444444444444</v>
      </c>
      <c r="AX216" s="88">
        <f>IF($Z$3="yes", 0.124586/$X216, 0.124586)</f>
        <v>6.921444444444444E-2</v>
      </c>
      <c r="AY216" s="88">
        <f>IF($Z$3="yes", 0.401187999999999/$X216, 0.401187999999999)</f>
        <v>0.22288222222222165</v>
      </c>
      <c r="AZ216" s="88">
        <f>IF($Z$3="yes", 0.397473714285713/$X216, 0.397473714285713)</f>
        <v>0.22081873015872944</v>
      </c>
      <c r="BA216" s="88">
        <f>IF($Z$3="yes", 0.398187999999999/$X216, 0.398187999999999)</f>
        <v>0.221215555555555</v>
      </c>
      <c r="BB216" s="88">
        <f>IF($Z$3="yes", 0.276601999999999/$X216, 0.276601999999999)</f>
        <v>0.15366777777777724</v>
      </c>
      <c r="BC216" s="88">
        <f>IF($Z$3="yes", 0.272887714285713/$X216, 0.272887714285713)</f>
        <v>0.151604285714285</v>
      </c>
      <c r="BD216" s="88">
        <f>IF($Z$3="yes", 0.273601999999999/$X216, 0.273601999999999)</f>
        <v>0.15200111111111056</v>
      </c>
      <c r="BE216" s="88">
        <f>IF($Z$3="yes", 0.00371428571428578/$X216, 0.00371428571428578)</f>
        <v>2.0634920634921001E-3</v>
      </c>
      <c r="BF216" s="88">
        <f>IF($Z$3="yes", 0.00299999999999966/$X216, 0.00299999999999966)</f>
        <v>1.6666666666664777E-3</v>
      </c>
      <c r="BG216" s="88">
        <f>IF($Z$3="yes", 0.000714285714286111/$X216, 0.000714285714286111)</f>
        <v>3.9682539682561719E-4</v>
      </c>
      <c r="BH216" s="88">
        <f>IF($Z$3="yes", 0.348179401360544/$X216, 0.348179401360544)</f>
        <v>0.19343300075585776</v>
      </c>
      <c r="BI216" s="68"/>
      <c r="BJ216" s="68"/>
      <c r="BK216" s="68">
        <f>IF($BL$3="yes", MAX(0, (226544 - 234590.4) / 184881.076795436), 234590.4)</f>
        <v>234590.4</v>
      </c>
      <c r="BL216" s="68">
        <f>IF($BL$3="yes", MAX(0, (226544 - 338042.6) / 286166.179156167), 338042.6)</f>
        <v>338042.6</v>
      </c>
      <c r="BM216" s="68">
        <f>IF($BL$3="yes", MAX(0, (226544 - 483762.15) / 754236.186574489), 483762.15)</f>
        <v>483762.15</v>
      </c>
      <c r="BN216" s="68">
        <f>IF($BL$3="yes", MAX(0, (226544 - 489344.62) / 1533370.32932843), 489344.62)</f>
        <v>489344.62</v>
      </c>
      <c r="BO216" s="68">
        <f>IF($BL$3="yes", MAX(0, (226544 - 253439.58) / 1109719.50047446), 253439.58)</f>
        <v>253439.58</v>
      </c>
      <c r="BP216" s="68">
        <f>IF($BL$3="yes", MAX(0, (226544 - 139010.115) / 793774.863222382), 139010.115)</f>
        <v>139010.11499999999</v>
      </c>
      <c r="BQ216" s="68">
        <v>57.912753000117903</v>
      </c>
      <c r="BR216" s="68"/>
      <c r="BS216" s="68"/>
      <c r="BT216" s="68">
        <v>-6222171.3098225994</v>
      </c>
      <c r="BU216" s="68">
        <v>28764.08094168175</v>
      </c>
      <c r="BV216" s="68">
        <f>IF($Z$3="yes", 0.220193113968503/$X216, 0.220193113968503)</f>
        <v>0.12232950776027944</v>
      </c>
      <c r="BW216" s="68">
        <f>IF($Z$3="yes", 0.214988397362931/$X216, 0.214988397362931)</f>
        <v>0.11943799853496166</v>
      </c>
      <c r="BX216" s="68">
        <f>$BW$153 - $BV$153</f>
        <v>0</v>
      </c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81"/>
      <c r="CR216" s="81"/>
      <c r="CS216" s="68"/>
      <c r="CT216" s="68"/>
      <c r="CU216" s="68"/>
    </row>
    <row r="217" spans="1:99" ht="15.75" customHeight="1" thickBot="1" x14ac:dyDescent="0.3">
      <c r="A217" s="84" t="s">
        <v>194</v>
      </c>
      <c r="B217" s="67" t="s">
        <v>181</v>
      </c>
      <c r="C217" s="83" t="s">
        <v>577</v>
      </c>
      <c r="D217" s="67" t="s">
        <v>578</v>
      </c>
      <c r="E217" s="67">
        <v>1</v>
      </c>
      <c r="F217" s="85">
        <v>5.1999999999999998E-3</v>
      </c>
      <c r="G217" s="313">
        <v>44225</v>
      </c>
      <c r="H217" s="317">
        <v>6.3E-3</v>
      </c>
      <c r="I217" s="85">
        <v>0.05</v>
      </c>
      <c r="J217" s="313">
        <v>44239</v>
      </c>
      <c r="K217" s="153">
        <f t="shared" si="8"/>
        <v>0.21153846153846168</v>
      </c>
      <c r="L217" s="149">
        <f t="shared" si="9"/>
        <v>8.6153846153846168</v>
      </c>
      <c r="M217" s="312">
        <v>44407</v>
      </c>
      <c r="N217" s="68"/>
      <c r="O217" s="68">
        <v>4205708462</v>
      </c>
      <c r="P217" s="68"/>
      <c r="Q217" s="68">
        <v>14</v>
      </c>
      <c r="R217" s="68"/>
      <c r="S217" s="68"/>
      <c r="T217" s="68"/>
      <c r="U217" s="68">
        <v>36</v>
      </c>
      <c r="V217" s="68">
        <v>3894978</v>
      </c>
      <c r="W217" s="68"/>
      <c r="X217" s="68">
        <v>5.1999999999999998E-3</v>
      </c>
      <c r="Y217" s="68">
        <v>1.34E-2</v>
      </c>
      <c r="Z217" s="68">
        <v>6.3470000000000019E-3</v>
      </c>
      <c r="AA217" s="68">
        <v>5.1640000000000132E-3</v>
      </c>
      <c r="AB217" s="68">
        <v>5.5800000000000094E-3</v>
      </c>
      <c r="AC217" s="68">
        <v>4.7999999999999987E-3</v>
      </c>
      <c r="AD217" s="68">
        <v>4.8857142857142858E-3</v>
      </c>
      <c r="AE217" s="68">
        <v>4.9375E-3</v>
      </c>
      <c r="AF217" s="68">
        <f>IF($Z$3="yes", -0.000150294907372684/$X217, -0.000150294907372684)</f>
        <v>-2.8902866802439232E-2</v>
      </c>
      <c r="AG217" s="68">
        <f>IF($Z$3="yes", -0.0000390117011701173/$X217, -0.0000390117011701173)</f>
        <v>-7.5022502250225572E-3</v>
      </c>
      <c r="AH217" s="68">
        <f>IF($Z$3="yes", -0.0000265642256902826/$X217, -0.0000265642256902826)</f>
        <v>-5.1085049404389618E-3</v>
      </c>
      <c r="AI217" s="68">
        <f>IF($Z$3="yes", -0.0000534741896758756/$X217, -0.0000534741896758756)</f>
        <v>-1.0283498014591462E-2</v>
      </c>
      <c r="AJ217" s="68">
        <f>IF($Z$3="yes", 0.0000246616541353391/$X217, 0.0000246616541353391)</f>
        <v>4.742625795257519E-3</v>
      </c>
      <c r="AK217" s="68">
        <f>IF($Z$3="yes", 0.0000140659340659344/$X217, 0.0000140659340659344)</f>
        <v>2.704987320372E-3</v>
      </c>
      <c r="AL217" s="68">
        <f>IF($Z$3="yes", 0.0000678571428571459/$X217, 0.0000678571428571459)</f>
        <v>1.3049450549451135E-2</v>
      </c>
      <c r="AM217" s="68">
        <f>IF($Z$3="yes", 0.007053/$X217, 0.007053)</f>
        <v>1.3563461538461539</v>
      </c>
      <c r="AN217" s="68">
        <f>IF($Z$3="yes", 0.00823599999999999/$X217, 0.00823599999999999)</f>
        <v>1.5838461538461519</v>
      </c>
      <c r="AO217" s="68">
        <f>IF($Z$3="yes", 0.00781999999999999/$X217, 0.00781999999999999)</f>
        <v>1.5038461538461521</v>
      </c>
      <c r="AP217" s="68">
        <f>IF($Z$3="yes", 0.0086/$X217, 0.0086)</f>
        <v>1.653846153846154</v>
      </c>
      <c r="AQ217" s="68">
        <f>IF($Z$3="yes", 0.00851428571428571/$X217, 0.00851428571428571)</f>
        <v>1.6373626373626367</v>
      </c>
      <c r="AR217" s="68">
        <f>IF($Z$3="yes", 0.0084625/$X217, 0.0084625)</f>
        <v>1.627403846153846</v>
      </c>
      <c r="AS217" s="68">
        <f>IF($Z$3="yes", 0.00118299999999998/$X217, 0.00118299999999998)</f>
        <v>0.22749999999999618</v>
      </c>
      <c r="AT217" s="68">
        <f>IF($Z$3="yes", 0.000766999999999992/$X217, 0.000766999999999992)</f>
        <v>0.14749999999999847</v>
      </c>
      <c r="AU217" s="88">
        <f>IF($Z$3="yes", 0.001547/$X217, 0.001547)</f>
        <v>0.29749999999999999</v>
      </c>
      <c r="AV217" s="88">
        <f>IF($Z$3="yes", 0.00146128571428571/$X217, 0.00146128571428571)</f>
        <v>0.28101648351648273</v>
      </c>
      <c r="AW217" s="88">
        <f>IF($Z$3="yes", 0.0014095/$X217, 0.0014095)</f>
        <v>0.27105769230769233</v>
      </c>
      <c r="AX217" s="88">
        <f>IF($Z$3="yes", 0.000415999999999996/$X217, 0.000415999999999996)</f>
        <v>7.9999999999999238E-2</v>
      </c>
      <c r="AY217" s="88">
        <f>IF($Z$3="yes", 0.00078000000000001/$X217, 0.00078000000000001)</f>
        <v>0.15000000000000191</v>
      </c>
      <c r="AZ217" s="88">
        <f>IF($Z$3="yes", 0.000694285714285723/$X217, 0.000694285714285723)</f>
        <v>0.13351648351648521</v>
      </c>
      <c r="BA217" s="88">
        <f>IF($Z$3="yes", 0.000642500000000009/$X217, 0.000642500000000009)</f>
        <v>0.12355769230769403</v>
      </c>
      <c r="BB217" s="88">
        <f>IF($Z$3="yes", 0.000364000000000014/$X217, 0.000364000000000014)</f>
        <v>7.0000000000002699E-2</v>
      </c>
      <c r="BC217" s="88">
        <f>IF($Z$3="yes", 0.000278285714285727/$X217, 0.000278285714285727)</f>
        <v>5.3516483516485962E-2</v>
      </c>
      <c r="BD217" s="88">
        <f>IF($Z$3="yes", 0.000226500000000013/$X217, 0.000226500000000013)</f>
        <v>4.3557692307694809E-2</v>
      </c>
      <c r="BE217" s="88">
        <f>IF($Z$3="yes", 0.000085714285714287/$X217, 0.000085714285714287)</f>
        <v>1.648351648351673E-2</v>
      </c>
      <c r="BF217" s="88">
        <f>IF($Z$3="yes", 0.000137500000000001/$X217, 0.000137500000000001)</f>
        <v>2.6442307692307886E-2</v>
      </c>
      <c r="BG217" s="88">
        <f>IF($Z$3="yes", 0.0000517857142857142/$X217, 0.0000517857142857142)</f>
        <v>9.9587912087911925E-3</v>
      </c>
      <c r="BH217" s="88">
        <f>IF($Z$3="yes", 0.000946074829931975/$X217, 0.000946074829931975)</f>
        <v>0.18193746729461058</v>
      </c>
      <c r="BI217" s="68"/>
      <c r="BJ217" s="68"/>
      <c r="BK217" s="68">
        <f>IF($BL$3="yes", MAX(0, (3894978 - 7368919.2) / 5182840.17132037), 7368919.2)</f>
        <v>7368919.2000000002</v>
      </c>
      <c r="BL217" s="68">
        <f>IF($BL$3="yes", MAX(0, (3894978 - 6391844.5) / 3843425.722815), 6391844.5)</f>
        <v>6391844.5</v>
      </c>
      <c r="BM217" s="68">
        <f>IF($BL$3="yes", MAX(0, (3894978 - 9471710.35) / 11942995.2249251), 9471710.35)</f>
        <v>9471710.3499999996</v>
      </c>
      <c r="BN217" s="68">
        <f>IF($BL$3="yes", MAX(0, (3894978 - 8642778.46) / 13656280.8335913), 8642778.46)</f>
        <v>8642778.4600000009</v>
      </c>
      <c r="BO217" s="68">
        <f>IF($BL$3="yes", MAX(0, (3894978 - 5525137.21) / 10552975.0358936), 5525137.21)</f>
        <v>5525137.21</v>
      </c>
      <c r="BP217" s="68">
        <f>IF($BL$3="yes", MAX(0, (3894978 - 5239806.26) / 8968668.92240088), 5239806.26)</f>
        <v>5239806.26</v>
      </c>
      <c r="BQ217" s="68">
        <v>54.301801333031683</v>
      </c>
      <c r="BR217" s="68"/>
      <c r="BS217" s="68"/>
      <c r="BT217" s="68">
        <v>-484705332.5381726</v>
      </c>
      <c r="BU217" s="68">
        <v>-3767092.9267634749</v>
      </c>
      <c r="BV217" s="68">
        <f>IF($Z$3="yes", 0.000833733509574205/$X217, 0.000833733509574205)</f>
        <v>0.16033336722580865</v>
      </c>
      <c r="BW217" s="68">
        <f>IF($Z$3="yes", 0.00101817522963767/$X217, 0.00101817522963767)</f>
        <v>0.19580292877647501</v>
      </c>
      <c r="BX217" s="68">
        <f>$BW$145 - $BV$145</f>
        <v>0</v>
      </c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81"/>
      <c r="CR217" s="81"/>
      <c r="CS217" s="68"/>
      <c r="CT217" s="68"/>
      <c r="CU217" s="68"/>
    </row>
    <row r="218" spans="1:99" ht="15.75" customHeight="1" thickBot="1" x14ac:dyDescent="0.3">
      <c r="A218" s="84" t="s">
        <v>579</v>
      </c>
      <c r="B218" s="67" t="s">
        <v>128</v>
      </c>
      <c r="C218" s="83" t="s">
        <v>580</v>
      </c>
      <c r="D218" s="67" t="s">
        <v>581</v>
      </c>
      <c r="E218" s="67">
        <v>1</v>
      </c>
      <c r="F218" s="85">
        <v>3.71</v>
      </c>
      <c r="G218" s="313">
        <v>44224</v>
      </c>
      <c r="H218" s="317">
        <v>4.1900000000000004</v>
      </c>
      <c r="I218" s="85">
        <v>18.5</v>
      </c>
      <c r="J218" s="313">
        <v>44225</v>
      </c>
      <c r="K218" s="131">
        <f t="shared" si="8"/>
        <v>0.12938005390835583</v>
      </c>
      <c r="L218" s="149">
        <f t="shared" si="9"/>
        <v>3.986522911051213</v>
      </c>
      <c r="M218" s="312">
        <v>44407</v>
      </c>
      <c r="N218" s="68"/>
      <c r="O218" s="291">
        <v>31283364</v>
      </c>
      <c r="P218" s="291">
        <v>10510000</v>
      </c>
      <c r="Q218" s="291">
        <v>1</v>
      </c>
      <c r="R218" s="68" t="s">
        <v>131</v>
      </c>
      <c r="S218" s="68" t="s">
        <v>281</v>
      </c>
      <c r="T218" s="68" t="s">
        <v>158</v>
      </c>
      <c r="U218" s="68">
        <v>32</v>
      </c>
      <c r="V218" s="68">
        <v>36058</v>
      </c>
      <c r="W218" s="68"/>
      <c r="X218" s="68">
        <v>3.71</v>
      </c>
      <c r="Y218" s="68">
        <v>4.5342999999999982</v>
      </c>
      <c r="Z218" s="68">
        <v>3.7847000000000008</v>
      </c>
      <c r="AA218" s="68">
        <v>3.9540000000000002</v>
      </c>
      <c r="AB218" s="68">
        <v>3.9470000000000001</v>
      </c>
      <c r="AC218" s="68">
        <v>3.9594999999999989</v>
      </c>
      <c r="AD218" s="68">
        <v>3.8778571428571431</v>
      </c>
      <c r="AE218" s="68">
        <v>3.7737499999999988</v>
      </c>
      <c r="AF218" s="68">
        <f>IF($Z$3="yes", -0.0148040351008774/$X218, -0.0148040351008774)</f>
        <v>-3.9903059571098111E-3</v>
      </c>
      <c r="AG218" s="68">
        <f>IF($Z$3="yes", 0.00685430543054299/$X218, 0.00685430543054299)</f>
        <v>1.8475216793916414E-3</v>
      </c>
      <c r="AH218" s="68">
        <f>IF($Z$3="yes", 0.00388283313325251/$X218, 0.00388283313325251)</f>
        <v>1.0465857502028328E-3</v>
      </c>
      <c r="AI218" s="68">
        <f>IF($Z$3="yes", 0.0116182472989188/$X218, 0.0116182472989188)</f>
        <v>3.1316030455306736E-3</v>
      </c>
      <c r="AJ218" s="68">
        <f>IF($Z$3="yes", -0.0265187969924809/$X218, -0.0265187969924809)</f>
        <v>-7.1479237176498385E-3</v>
      </c>
      <c r="AK218" s="68">
        <f>IF($Z$3="yes", -0.0281098901098897/$X218, -0.0281098901098897)</f>
        <v>-7.5767897870322645E-3</v>
      </c>
      <c r="AL218" s="68">
        <f>IF($Z$3="yes", -0.00178571428571333/$X218, -0.00178571428571333)</f>
        <v>-4.8132460531356608E-4</v>
      </c>
      <c r="AM218" s="68">
        <f>IF($Z$3="yes", 0.749599999999997/$X218, 0.749599999999997)</f>
        <v>0.20204851752021483</v>
      </c>
      <c r="AN218" s="68">
        <f>IF($Z$3="yes", 0.580299999999998/$X218, 0.580299999999998)</f>
        <v>0.15641509433962211</v>
      </c>
      <c r="AO218" s="68">
        <f>IF($Z$3="yes", 0.587299999999998/$X218, 0.587299999999998)</f>
        <v>0.1583018867924523</v>
      </c>
      <c r="AP218" s="68">
        <f>IF($Z$3="yes", 0.574799999999999/$X218, 0.574799999999999)</f>
        <v>0.15493261455525578</v>
      </c>
      <c r="AQ218" s="68">
        <f>IF($Z$3="yes", 0.656442857142855/$X218, 0.656442857142855)</f>
        <v>0.17693877551020351</v>
      </c>
      <c r="AR218" s="68">
        <f>IF($Z$3="yes", 0.760549999999999/$X218, 0.760549999999999)</f>
        <v>0.20499999999999971</v>
      </c>
      <c r="AS218" s="68">
        <f>IF($Z$3="yes", 0.169299999999998/$X218, 0.169299999999998)</f>
        <v>4.5633423180592457E-2</v>
      </c>
      <c r="AT218" s="68">
        <f>IF($Z$3="yes", 0.162299999999998/$X218, 0.162299999999998)</f>
        <v>4.3746630727762262E-2</v>
      </c>
      <c r="AU218" s="88">
        <f>IF($Z$3="yes", 0.174799999999998/$X218, 0.174799999999998)</f>
        <v>4.7115902964959031E-2</v>
      </c>
      <c r="AV218" s="88">
        <f>IF($Z$3="yes", 0.0931571428571413/$X218, 0.0931571428571413)</f>
        <v>2.5109742010011132E-2</v>
      </c>
      <c r="AW218" s="88">
        <f>IF($Z$3="yes", 0.0109500000000024/$X218, 0.0109500000000024)</f>
        <v>2.9514824797850134E-3</v>
      </c>
      <c r="AX218" s="88">
        <f>IF($Z$3="yes", 0.00699999999999967/$X218, 0.00699999999999967)</f>
        <v>1.8867924528300996E-3</v>
      </c>
      <c r="AY218" s="88">
        <f>IF($Z$3="yes", 0.0124999999999992/$X218, 0.0124999999999992)</f>
        <v>3.3692722371965497E-3</v>
      </c>
      <c r="AZ218" s="88">
        <f>IF($Z$3="yes", 0.0691428571428574/$X218, 0.0691428571428574)</f>
        <v>1.8636888717751321E-2</v>
      </c>
      <c r="BA218" s="88">
        <f>IF($Z$3="yes", 0.173250000000001/$X218, 0.173250000000001)</f>
        <v>4.6698113207547437E-2</v>
      </c>
      <c r="BB218" s="88">
        <f>IF($Z$3="yes", 0.00549999999999961/$X218, 0.00549999999999961)</f>
        <v>1.4824797843664718E-3</v>
      </c>
      <c r="BC218" s="88">
        <f>IF($Z$3="yes", 0.076142857142857/$X218, 0.076142857142857)</f>
        <v>2.0523681170581402E-2</v>
      </c>
      <c r="BD218" s="88">
        <f>IF($Z$3="yes", 0.18025/$X218, 0.18025)</f>
        <v>4.8584905660377355E-2</v>
      </c>
      <c r="BE218" s="88">
        <f>IF($Z$3="yes", 0.0816428571428566/$X218, 0.0816428571428566)</f>
        <v>2.2006160954947871E-2</v>
      </c>
      <c r="BF218" s="88">
        <f>IF($Z$3="yes", 0.18575/$X218, 0.18575)</f>
        <v>5.0067385444743935E-2</v>
      </c>
      <c r="BG218" s="88">
        <f>IF($Z$3="yes", 0.104107142857143/$X218, 0.104107142857143)</f>
        <v>2.8061224489795956E-2</v>
      </c>
      <c r="BH218" s="88">
        <f>IF($Z$3="yes", 0.436066666666666/$X218, 0.436066666666666)</f>
        <v>0.11753818508535471</v>
      </c>
      <c r="BI218" s="68"/>
      <c r="BJ218" s="68"/>
      <c r="BK218" s="68">
        <f>IF($BL$3="yes", MAX(0, (36058 - 53652.2) / 14712.6422970178), 53652.2)</f>
        <v>53652.2</v>
      </c>
      <c r="BL218" s="68">
        <f>IF($BL$3="yes", MAX(0, (36058 - 43502.2) / 15740.8050099097), 43502.2)</f>
        <v>43502.2</v>
      </c>
      <c r="BM218" s="68">
        <f>IF($BL$3="yes", MAX(0, (36058 - 30321.3) / 17536.8750240742), 30321.3)</f>
        <v>30321.3</v>
      </c>
      <c r="BN218" s="68">
        <f>IF($BL$3="yes", MAX(0, (36058 - 24961.26) / 15074.1525397748), 24961.26)</f>
        <v>24961.26</v>
      </c>
      <c r="BO218" s="68">
        <f>IF($BL$3="yes", MAX(0, (36058 - 22020.87) / 17758.4186968631), 22020.87)</f>
        <v>22020.87</v>
      </c>
      <c r="BP218" s="68">
        <f>IF($BL$3="yes", MAX(0, (36058 - 27651.51) / 28335.3195759267), 27651.51)</f>
        <v>27651.51</v>
      </c>
      <c r="BQ218" s="68">
        <v>42.887858720010428</v>
      </c>
      <c r="BR218" s="68"/>
      <c r="BS218" s="68"/>
      <c r="BT218" s="68">
        <v>-700638.30145087559</v>
      </c>
      <c r="BU218" s="68">
        <v>-10978.32303208299</v>
      </c>
      <c r="BV218" s="68">
        <f>IF($Z$3="yes", 0.22313393753918/$X218, 0.22313393753918)</f>
        <v>6.0143918474172511E-2</v>
      </c>
      <c r="BW218" s="68">
        <f>IF($Z$3="yes", 0.22585640759031/$X218, 0.22585640759031)</f>
        <v>6.0877737894962265E-2</v>
      </c>
      <c r="BX218" s="68">
        <f>$BW$144 - $BV$144</f>
        <v>-1.8073215462521885E-2</v>
      </c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81"/>
      <c r="CR218" s="81"/>
      <c r="CS218" s="68"/>
      <c r="CT218" s="68"/>
      <c r="CU218" s="68"/>
    </row>
    <row r="219" spans="1:99" ht="15.75" customHeight="1" thickBot="1" x14ac:dyDescent="0.3">
      <c r="A219" s="84" t="s">
        <v>194</v>
      </c>
      <c r="B219" s="67" t="s">
        <v>128</v>
      </c>
      <c r="C219" s="67" t="s">
        <v>525</v>
      </c>
      <c r="D219" s="67" t="s">
        <v>582</v>
      </c>
      <c r="E219" s="67">
        <v>1</v>
      </c>
      <c r="F219" s="85">
        <v>1.28</v>
      </c>
      <c r="G219" s="313">
        <v>44223</v>
      </c>
      <c r="H219" s="317">
        <v>1.96</v>
      </c>
      <c r="I219" s="317">
        <v>2.04</v>
      </c>
      <c r="J219" s="313">
        <v>44407</v>
      </c>
      <c r="K219" s="144">
        <f t="shared" si="8"/>
        <v>0.53125</v>
      </c>
      <c r="L219" s="122">
        <f t="shared" si="9"/>
        <v>0.59375</v>
      </c>
      <c r="M219" s="312">
        <v>44407</v>
      </c>
      <c r="N219" s="68"/>
      <c r="O219" s="291">
        <v>88432227</v>
      </c>
      <c r="P219" s="291">
        <v>72410000</v>
      </c>
      <c r="Q219" s="291">
        <v>184</v>
      </c>
      <c r="R219" s="68" t="s">
        <v>131</v>
      </c>
      <c r="S219" s="68" t="s">
        <v>148</v>
      </c>
      <c r="T219" s="68" t="s">
        <v>583</v>
      </c>
      <c r="U219" s="68">
        <v>324</v>
      </c>
      <c r="V219" s="68">
        <v>2429661</v>
      </c>
      <c r="W219" s="68"/>
      <c r="X219" s="68">
        <v>1.26</v>
      </c>
      <c r="Y219" s="68">
        <v>1.373662499999998</v>
      </c>
      <c r="Z219" s="68">
        <v>1.2468000000000019</v>
      </c>
      <c r="AA219" s="68">
        <v>1.1079000000000001</v>
      </c>
      <c r="AB219" s="68">
        <v>1.1371000000000011</v>
      </c>
      <c r="AC219" s="68">
        <v>1.1072500000000001</v>
      </c>
      <c r="AD219" s="68">
        <v>1.152142857142858</v>
      </c>
      <c r="AE219" s="68">
        <v>1.2050000000000001</v>
      </c>
      <c r="AF219" s="68">
        <f>IF($Z$3="yes", -0.000969373209330123/$X219, -0.000969373209330123)</f>
        <v>-7.6934381692866905E-4</v>
      </c>
      <c r="AG219" s="68">
        <f>IF($Z$3="yes", -0.00411151755175536/$X219, -0.00411151755175536)</f>
        <v>-3.2631091680598093E-3</v>
      </c>
      <c r="AH219" s="68">
        <f>IF($Z$3="yes", -0.000209815126050868/$X219, -0.000209815126050868)</f>
        <v>-1.665199413102127E-4</v>
      </c>
      <c r="AI219" s="68">
        <f>IF($Z$3="yes", -0.00680285234093685/$X219, -0.00680285234093685)</f>
        <v>-5.3990891594736905E-3</v>
      </c>
      <c r="AJ219" s="68">
        <f>IF($Z$3="yes", 0.0160981954887219/$X219, 0.0160981954887219)</f>
        <v>1.277634562596976E-2</v>
      </c>
      <c r="AK219" s="68">
        <f>IF($Z$3="yes", 0.0195384615384613/$X219, 0.0195384615384613)</f>
        <v>1.5506715506715318E-2</v>
      </c>
      <c r="AL219" s="68">
        <f>IF($Z$3="yes", 0.0309523809523812/$X219, 0.0309523809523812)</f>
        <v>2.4565381708239048E-2</v>
      </c>
      <c r="AM219" s="68">
        <f>IF($Z$3="yes", 0.126862499999996/$X219, 0.126862499999996)</f>
        <v>0.10068452380952063</v>
      </c>
      <c r="AN219" s="68">
        <f>IF($Z$3="yes", 0.265762499999998/$X219, 0.265762499999998)</f>
        <v>0.21092261904761747</v>
      </c>
      <c r="AO219" s="68">
        <f>IF($Z$3="yes", 0.236562499999997/$X219, 0.236562499999997)</f>
        <v>0.18774801587301351</v>
      </c>
      <c r="AP219" s="68">
        <f>IF($Z$3="yes", 0.266412499999998/$X219, 0.266412499999998)</f>
        <v>0.21143849206349047</v>
      </c>
      <c r="AQ219" s="68">
        <f>IF($Z$3="yes", 0.22151964285714/$X219, 0.22151964285714)</f>
        <v>0.17580924036280951</v>
      </c>
      <c r="AR219" s="68">
        <f>IF($Z$3="yes", 0.168662499999998/$X219, 0.168662499999998)</f>
        <v>0.13385912698412539</v>
      </c>
      <c r="AS219" s="68">
        <f>IF($Z$3="yes", 0.138900000000001/$X219, 0.138900000000001)</f>
        <v>0.11023809523809602</v>
      </c>
      <c r="AT219" s="68">
        <f>IF($Z$3="yes", 0.109700000000001/$X219, 0.109700000000001)</f>
        <v>8.7063492063492856E-2</v>
      </c>
      <c r="AU219" s="88">
        <f>IF($Z$3="yes", 0.139550000000001/$X219, 0.139550000000001)</f>
        <v>0.11075396825396905</v>
      </c>
      <c r="AV219" s="88">
        <f>IF($Z$3="yes", 0.0946571428571443/$X219, 0.0946571428571443)</f>
        <v>7.5124716553289131E-2</v>
      </c>
      <c r="AW219" s="88">
        <f>IF($Z$3="yes", 0.0418000000000018/$X219, 0.0418000000000018)</f>
        <v>3.3174603174604606E-2</v>
      </c>
      <c r="AX219" s="88">
        <f>IF($Z$3="yes", 0.0292000000000003/$X219, 0.0292000000000003)</f>
        <v>2.317460317460341E-2</v>
      </c>
      <c r="AY219" s="88">
        <f>IF($Z$3="yes", 0.0298500000000006/$X219, 0.0298500000000006)</f>
        <v>2.3690476190476664E-2</v>
      </c>
      <c r="AZ219" s="88">
        <f>IF($Z$3="yes", 0.0150428571428569/$X219, 0.0150428571428569)</f>
        <v>1.1938775510203888E-2</v>
      </c>
      <c r="BA219" s="88">
        <f>IF($Z$3="yes", 0.0678999999999994/$X219, 0.0678999999999994)</f>
        <v>5.3888888888888417E-2</v>
      </c>
      <c r="BB219" s="88">
        <f>IF($Z$3="yes", 0.000650000000000261/$X219, 0.000650000000000261)</f>
        <v>5.1587301587322301E-4</v>
      </c>
      <c r="BC219" s="88">
        <f>IF($Z$3="yes", 0.0442428571428572/$X219, 0.0442428571428572)</f>
        <v>3.5113378684807302E-2</v>
      </c>
      <c r="BD219" s="88">
        <f>IF($Z$3="yes", 0.0970999999999997/$X219, 0.0970999999999997)</f>
        <v>7.706349206349182E-2</v>
      </c>
      <c r="BE219" s="88">
        <f>IF($Z$3="yes", 0.0448928571428575/$X219, 0.0448928571428575)</f>
        <v>3.5629251700680556E-2</v>
      </c>
      <c r="BF219" s="88">
        <f>IF($Z$3="yes", 0.09775/$X219, 0.09775)</f>
        <v>7.7579365079365081E-2</v>
      </c>
      <c r="BG219" s="88">
        <f>IF($Z$3="yes", 0.0528571428571424/$X219, 0.0528571428571424)</f>
        <v>4.1950113378684442E-2</v>
      </c>
      <c r="BH219" s="88">
        <f>IF($Z$3="yes", 0.160058843537415/$X219, 0.160058843537415)</f>
        <v>0.12703082820429762</v>
      </c>
      <c r="BI219" s="68"/>
      <c r="BJ219" s="68"/>
      <c r="BK219" s="68">
        <f>IF($BL$3="yes", MAX(0, (2429661 - 3615791.2) / 1841555.66993065), 3615791.2)</f>
        <v>3615791.2</v>
      </c>
      <c r="BL219" s="68">
        <f>IF($BL$3="yes", MAX(0, (2429661 - 2734350.1) / 1635551.2475073), 2734350.1)</f>
        <v>2734350.1</v>
      </c>
      <c r="BM219" s="68">
        <f>IF($BL$3="yes", MAX(0, (2429661 - 2299976.5) / 1395882.37075834), 2299976.5)</f>
        <v>2299976.5</v>
      </c>
      <c r="BN219" s="68">
        <f>IF($BL$3="yes", MAX(0, (2429661 - 2140852.94) / 1246368.58324927), 2140852.94)</f>
        <v>2140852.94</v>
      </c>
      <c r="BO219" s="68">
        <f>IF($BL$3="yes", MAX(0, (2429661 - 1727741.83) / 1090209.90873436), 1727741.83)</f>
        <v>1727741.83</v>
      </c>
      <c r="BP219" s="68">
        <f>IF($BL$3="yes", MAX(0, (2429661 - 1563765.7) / 1204131.02000082), 1563765.7)</f>
        <v>1563765.7</v>
      </c>
      <c r="BQ219" s="68">
        <v>63.328696761588901</v>
      </c>
      <c r="BR219" s="68"/>
      <c r="BS219" s="68"/>
      <c r="BT219" s="68">
        <v>-7997446.4304927122</v>
      </c>
      <c r="BU219" s="68">
        <v>282978.15757290547</v>
      </c>
      <c r="BV219" s="68">
        <f>IF($Z$3="yes", 0.0865089773153752/$X219, 0.0865089773153752)</f>
        <v>6.865791850426603E-2</v>
      </c>
      <c r="BW219" s="68">
        <f>IF($Z$3="yes", 0.0846721356689566/$X219, 0.0846721356689566)</f>
        <v>6.7200107673775072E-2</v>
      </c>
      <c r="BX219" s="68">
        <f>$BW$143 - $BV$143</f>
        <v>0.23042795302291369</v>
      </c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81"/>
      <c r="CR219" s="81"/>
      <c r="CS219" s="68"/>
      <c r="CT219" s="68"/>
      <c r="CU219" s="68"/>
    </row>
    <row r="220" spans="1:99" ht="15.75" customHeight="1" thickBot="1" x14ac:dyDescent="0.3">
      <c r="A220" s="84" t="s">
        <v>194</v>
      </c>
      <c r="B220" s="67" t="s">
        <v>181</v>
      </c>
      <c r="C220" s="83" t="s">
        <v>584</v>
      </c>
      <c r="D220" s="67" t="s">
        <v>585</v>
      </c>
      <c r="E220" s="67">
        <v>1</v>
      </c>
      <c r="F220" s="85">
        <v>1.0800000000000001E-2</v>
      </c>
      <c r="G220" s="313">
        <v>44221</v>
      </c>
      <c r="H220" s="317">
        <v>2.8999999999999998E-3</v>
      </c>
      <c r="I220" s="85">
        <v>5.8999999999999997E-2</v>
      </c>
      <c r="J220" s="313">
        <v>44239</v>
      </c>
      <c r="K220" s="125">
        <f t="shared" si="8"/>
        <v>-0.73148148148148151</v>
      </c>
      <c r="L220" s="149">
        <f t="shared" si="9"/>
        <v>4.4629629629629628</v>
      </c>
      <c r="M220" s="312">
        <v>44407</v>
      </c>
      <c r="N220" s="68"/>
      <c r="O220" s="68">
        <v>1865304388</v>
      </c>
      <c r="P220" s="68"/>
      <c r="Q220" s="68">
        <v>18</v>
      </c>
      <c r="R220" s="68"/>
      <c r="S220" s="68" t="s">
        <v>148</v>
      </c>
      <c r="T220" s="68"/>
      <c r="U220" s="68">
        <v>408</v>
      </c>
      <c r="V220" s="68">
        <v>39025419</v>
      </c>
      <c r="W220" s="68"/>
      <c r="X220" s="68">
        <v>1.4E-2</v>
      </c>
      <c r="Y220" s="68">
        <v>0.57216949999999989</v>
      </c>
      <c r="Z220" s="68">
        <v>2.2402000000000311E-2</v>
      </c>
      <c r="AA220" s="68">
        <v>1.343800000000011E-2</v>
      </c>
      <c r="AB220" s="68">
        <v>1.557400000000011E-2</v>
      </c>
      <c r="AC220" s="68">
        <v>9.0450000000023376E-3</v>
      </c>
      <c r="AD220" s="68">
        <v>9.0285714285714309E-3</v>
      </c>
      <c r="AE220" s="68">
        <v>1.0375000000000009E-2</v>
      </c>
      <c r="AF220" s="68">
        <f>IF($Z$3="yes", -0.0048589407485187/$X220, -0.0048589407485187)</f>
        <v>-0.34706719632276428</v>
      </c>
      <c r="AG220" s="68">
        <f>IF($Z$3="yes", -0.000420644464446472/$X220, -0.000420644464446472)</f>
        <v>-3.0046033174748001E-2</v>
      </c>
      <c r="AH220" s="68">
        <f>IF($Z$3="yes", -0.00032021608643453/$X220, -0.00032021608643453)</f>
        <v>-2.2872577602466429E-2</v>
      </c>
      <c r="AI220" s="68">
        <f>IF($Z$3="yes", -0.000348336134453738/$X220, -0.000348336134453738)</f>
        <v>-2.4881152460981285E-2</v>
      </c>
      <c r="AJ220" s="68">
        <f>IF($Z$3="yes", 0.000216165413524084/$X220, 0.000216165413524084)</f>
        <v>1.5440386680291714E-2</v>
      </c>
      <c r="AK220" s="68">
        <f>IF($Z$3="yes", 0.000465054945054941/$X220, 0.000465054945054941)</f>
        <v>3.3218210361067216E-2</v>
      </c>
      <c r="AL220" s="68">
        <f>IF($Z$3="yes", 0.00082857142857142/$X220, 0.00082857142857142)</f>
        <v>5.9183673469387139E-2</v>
      </c>
      <c r="AM220" s="68">
        <f>IF($Z$3="yes", 0.549767499999999/$X220, 0.549767499999999)</f>
        <v>39.269107142857067</v>
      </c>
      <c r="AN220" s="68">
        <f>IF($Z$3="yes", 0.558731499999999/$X220, 0.558731499999999)</f>
        <v>39.909392857142791</v>
      </c>
      <c r="AO220" s="68">
        <f>IF($Z$3="yes", 0.556595499999999/$X220, 0.556595499999999)</f>
        <v>39.756821428571357</v>
      </c>
      <c r="AP220" s="68">
        <f>IF($Z$3="yes", 0.563124499999997/$X220, 0.563124499999997)</f>
        <v>40.223178571428356</v>
      </c>
      <c r="AQ220" s="68">
        <f>IF($Z$3="yes", 0.563140928571428/$X220, 0.563140928571428)</f>
        <v>40.224352040816278</v>
      </c>
      <c r="AR220" s="68">
        <f>IF($Z$3="yes", 0.561794499999999/$X220, 0.561794499999999)</f>
        <v>40.128178571428499</v>
      </c>
      <c r="AS220" s="68">
        <f>IF($Z$3="yes", 0.0089640000000002/$X220, 0.0089640000000002)</f>
        <v>0.64028571428572856</v>
      </c>
      <c r="AT220" s="68">
        <f>IF($Z$3="yes", 0.0068280000000002/$X220, 0.0068280000000002)</f>
        <v>0.48771428571430003</v>
      </c>
      <c r="AU220" s="88">
        <f>IF($Z$3="yes", 0.0133569999999979/$X220, 0.0133569999999979)</f>
        <v>0.95407142857127858</v>
      </c>
      <c r="AV220" s="88">
        <f>IF($Z$3="yes", 0.0133734285714288/$X220, 0.0133734285714288)</f>
        <v>0.95524489795919998</v>
      </c>
      <c r="AW220" s="88">
        <f>IF($Z$3="yes", 0.0120270000000003/$X220, 0.0120270000000003)</f>
        <v>0.85907142857144991</v>
      </c>
      <c r="AX220" s="88">
        <f>IF($Z$3="yes", 0.00213599999999999/$X220, 0.00213599999999999)</f>
        <v>0.15257142857142786</v>
      </c>
      <c r="AY220" s="88">
        <f>IF($Z$3="yes", 0.00652899999999777/$X220, 0.00652899999999777)</f>
        <v>0.46635714285698354</v>
      </c>
      <c r="AZ220" s="88">
        <f>IF($Z$3="yes", 0.00654542857142868/$X220, 0.00654542857142868)</f>
        <v>0.46753061224490572</v>
      </c>
      <c r="BA220" s="88">
        <f>IF($Z$3="yes", 0.0051990000000001/$X220, 0.0051990000000001)</f>
        <v>0.37135714285714999</v>
      </c>
      <c r="BB220" s="88">
        <f>IF($Z$3="yes", 0.00439299999999777/$X220, 0.00439299999999777)</f>
        <v>0.31378571428555502</v>
      </c>
      <c r="BC220" s="88">
        <f>IF($Z$3="yes", 0.00440942857142868/$X220, 0.00440942857142868)</f>
        <v>0.31495918367347714</v>
      </c>
      <c r="BD220" s="88">
        <f>IF($Z$3="yes", 0.0030630000000001/$X220, 0.0030630000000001)</f>
        <v>0.21878571428572141</v>
      </c>
      <c r="BE220" s="88">
        <f>IF($Z$3="yes", 0.0000164285714309066/$X220, 0.0000164285714309066)</f>
        <v>1.1734693879219E-3</v>
      </c>
      <c r="BF220" s="88">
        <f>IF($Z$3="yes", 0.00132999999999767/$X220, 0.00132999999999767)</f>
        <v>9.4999999999833579E-2</v>
      </c>
      <c r="BG220" s="88">
        <f>IF($Z$3="yes", 0.00134642857142857/$X220, 0.00134642857142857)</f>
        <v>9.6173469387755006E-2</v>
      </c>
      <c r="BH220" s="88">
        <f>IF($Z$3="yes", 0.00396644217687081/$X220, 0.00396644217687081)</f>
        <v>0.28331729834791503</v>
      </c>
      <c r="BI220" s="68"/>
      <c r="BJ220" s="68"/>
      <c r="BK220" s="68">
        <f>IF($BL$3="yes", MAX(0, (39025419 - 39564424.8) / 18895369.4839433), 39564424.8)</f>
        <v>39564424.799999997</v>
      </c>
      <c r="BL220" s="68">
        <f>IF($BL$3="yes", MAX(0, (39025419 - 27972993.6) / 18541555.9004449), 27972993.6)</f>
        <v>27972993.600000001</v>
      </c>
      <c r="BM220" s="68">
        <f>IF($BL$3="yes", MAX(0, (39025419 - 29654095.5) / 21959336.3007846), 29654095.5)</f>
        <v>29654095.5</v>
      </c>
      <c r="BN220" s="68">
        <f>IF($BL$3="yes", MAX(0, (39025419 - 13627831.82) / 19242808.423366), 13627831.82)</f>
        <v>13627831.82</v>
      </c>
      <c r="BO220" s="68">
        <f>IF($BL$3="yes", MAX(0, (39025419 - 7101828.25) / 15097359.9074425), 7101828.25)</f>
        <v>7101828.25</v>
      </c>
      <c r="BP220" s="68">
        <f>IF($BL$3="yes", MAX(0, (39025419 - 3891867.29) / 11174950.51705), 3891867.29)</f>
        <v>3891867.29</v>
      </c>
      <c r="BQ220" s="68">
        <v>53.717227503794923</v>
      </c>
      <c r="BR220" s="68"/>
      <c r="BS220" s="68"/>
      <c r="BT220" s="68">
        <v>22543712.022718139</v>
      </c>
      <c r="BU220" s="68">
        <v>4341802.601668641</v>
      </c>
      <c r="BV220" s="68">
        <f>IF($Z$3="yes", 0.00452072568180152/$X220, 0.00452072568180152)</f>
        <v>0.32290897727153717</v>
      </c>
      <c r="BW220" s="68">
        <f>IF($Z$3="yes", 0.00773759941889619/$X220, 0.00773759941889619)</f>
        <v>0.55268567277829928</v>
      </c>
      <c r="BX220" s="68">
        <f>$BW$141 - $BV$141</f>
        <v>0.17440277679920191</v>
      </c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81"/>
      <c r="CR220" s="81"/>
      <c r="CS220" s="68"/>
      <c r="CT220" s="68"/>
      <c r="CU220" s="68"/>
    </row>
    <row r="221" spans="1:99" ht="15.75" customHeight="1" thickBot="1" x14ac:dyDescent="0.3">
      <c r="A221" s="84" t="s">
        <v>194</v>
      </c>
      <c r="B221" s="67" t="s">
        <v>181</v>
      </c>
      <c r="C221" s="83" t="s">
        <v>584</v>
      </c>
      <c r="D221" s="67" t="s">
        <v>586</v>
      </c>
      <c r="E221" s="67">
        <v>1</v>
      </c>
      <c r="F221" s="85">
        <v>8.0000000000000002E-3</v>
      </c>
      <c r="G221" s="313">
        <v>44221</v>
      </c>
      <c r="H221" s="317">
        <v>0.06</v>
      </c>
      <c r="I221" s="85">
        <v>0.85</v>
      </c>
      <c r="J221" s="313">
        <v>44238</v>
      </c>
      <c r="K221" s="149">
        <f t="shared" si="8"/>
        <v>6.5</v>
      </c>
      <c r="L221" s="149">
        <f t="shared" si="9"/>
        <v>105.25</v>
      </c>
      <c r="M221" s="312">
        <v>44407</v>
      </c>
      <c r="N221" s="68"/>
      <c r="O221" s="68">
        <v>299569984</v>
      </c>
      <c r="P221" s="68"/>
      <c r="Q221" s="68">
        <v>17</v>
      </c>
      <c r="R221" s="68"/>
      <c r="S221" s="68" t="s">
        <v>220</v>
      </c>
      <c r="T221" s="68"/>
      <c r="U221" s="68">
        <v>476</v>
      </c>
      <c r="V221" s="68">
        <v>56860331</v>
      </c>
      <c r="W221" s="68"/>
      <c r="X221" s="68">
        <v>1.0999999999999999E-2</v>
      </c>
      <c r="Y221" s="68">
        <v>3.7355000000000439E-3</v>
      </c>
      <c r="Z221" s="68">
        <v>3.1430000000000021E-3</v>
      </c>
      <c r="AA221" s="68">
        <v>3.5320000000000009E-3</v>
      </c>
      <c r="AB221" s="68">
        <v>2.7699999999999999E-3</v>
      </c>
      <c r="AC221" s="68">
        <v>4.9600000000000017E-3</v>
      </c>
      <c r="AD221" s="68">
        <v>5.4142857142857126E-3</v>
      </c>
      <c r="AE221" s="68">
        <v>6.3374999999999968E-3</v>
      </c>
      <c r="AF221" s="68">
        <f>IF($Z$3="yes", -8.51623790595045E-06/$X221, -8.51623790595045E-06)</f>
        <v>-7.7420344599549542E-4</v>
      </c>
      <c r="AG221" s="68">
        <f>IF($Z$3="yes", 0.0000207374737473746/$X221, 0.0000207374737473746)</f>
        <v>1.8852248861249638E-3</v>
      </c>
      <c r="AH221" s="68">
        <f>IF($Z$3="yes", 0.000099947178871548/$X221, 0.000099947178871548)</f>
        <v>9.0861071701407274E-3</v>
      </c>
      <c r="AI221" s="68">
        <f>IF($Z$3="yes", 0.0000491956782713083/$X221, 0.0000491956782713083)</f>
        <v>4.4723343883007549E-3</v>
      </c>
      <c r="AJ221" s="68">
        <f>IF($Z$3="yes", 0.000232481203007517/$X221, 0.000232481203007517)</f>
        <v>2.1134654818865183E-2</v>
      </c>
      <c r="AK221" s="68">
        <f>IF($Z$3="yes", 0.00038901098901099/$X221, 0.00038901098901099)</f>
        <v>3.5364635364635452E-2</v>
      </c>
      <c r="AL221" s="68">
        <f>IF($Z$3="yes", 0.000779761904761908/$X221, 0.000779761904761908)</f>
        <v>7.0887445887446179E-2</v>
      </c>
      <c r="AM221" s="68">
        <f>IF($Z$3="yes", 0.000592500000000041/$X221, 0.000592500000000041)</f>
        <v>5.3863636363640097E-2</v>
      </c>
      <c r="AN221" s="68">
        <f>IF($Z$3="yes", 0.000203500000000043/$X221, 0.000203500000000043)</f>
        <v>1.8500000000003909E-2</v>
      </c>
      <c r="AO221" s="68">
        <f>IF($Z$3="yes", 0.000965500000000044/$X221, 0.000965500000000044)</f>
        <v>8.7772727272731277E-2</v>
      </c>
      <c r="AP221" s="68">
        <f>IF($Z$3="yes", 0.00122449999999995/$X221, 0.00122449999999995)</f>
        <v>0.11131818181817728</v>
      </c>
      <c r="AQ221" s="68">
        <f>IF($Z$3="yes", 0.00167878571428566/$X221, 0.00167878571428566)</f>
        <v>0.15261688311687818</v>
      </c>
      <c r="AR221" s="68">
        <f>IF($Z$3="yes", 0.00260199999999995/$X221, 0.00260199999999995)</f>
        <v>0.23654545454545001</v>
      </c>
      <c r="AS221" s="68">
        <f>IF($Z$3="yes", 0.000388999999999999/$X221, 0.000388999999999999)</f>
        <v>3.5363636363636271E-2</v>
      </c>
      <c r="AT221" s="68">
        <f>IF($Z$3="yes", 0.000373000000000002/$X221, 0.000373000000000002)</f>
        <v>3.3909090909091097E-2</v>
      </c>
      <c r="AU221" s="88">
        <f>IF($Z$3="yes", 0.00181699999999999/$X221, 0.00181699999999999)</f>
        <v>0.16518181818181729</v>
      </c>
      <c r="AV221" s="88">
        <f>IF($Z$3="yes", 0.00227128571428571/$X221, 0.00227128571428571)</f>
        <v>0.2064805194805191</v>
      </c>
      <c r="AW221" s="88">
        <f>IF($Z$3="yes", 0.00319449999999999/$X221, 0.00319449999999999)</f>
        <v>0.29040909090909001</v>
      </c>
      <c r="AX221" s="88">
        <f>IF($Z$3="yes", 0.000762000000000001/$X221, 0.000762000000000001)</f>
        <v>6.9272727272727361E-2</v>
      </c>
      <c r="AY221" s="88">
        <f>IF($Z$3="yes", 0.00219/$X221, 0.00219)</f>
        <v>0.19909090909090912</v>
      </c>
      <c r="AZ221" s="88">
        <f>IF($Z$3="yes", 0.00264428571428571/$X221, 0.00264428571428571)</f>
        <v>0.24038961038961001</v>
      </c>
      <c r="BA221" s="88">
        <f>IF($Z$3="yes", 0.00356749999999999/$X221, 0.00356749999999999)</f>
        <v>0.32431818181818095</v>
      </c>
      <c r="BB221" s="88">
        <f>IF($Z$3="yes", 0.001428/$X221, 0.001428)</f>
        <v>0.12981818181818183</v>
      </c>
      <c r="BC221" s="88">
        <f>IF($Z$3="yes", 0.00188228571428571/$X221, 0.00188228571428571)</f>
        <v>0.17111688311688275</v>
      </c>
      <c r="BD221" s="88">
        <f>IF($Z$3="yes", 0.00280549999999999/$X221, 0.00280549999999999)</f>
        <v>0.25504545454545363</v>
      </c>
      <c r="BE221" s="88">
        <f>IF($Z$3="yes", 0.00045428571428571/$X221, 0.00045428571428571)</f>
        <v>4.1298701298700911E-2</v>
      </c>
      <c r="BF221" s="88">
        <f>IF($Z$3="yes", 0.00137749999999999/$X221, 0.00137749999999999)</f>
        <v>0.12522727272727183</v>
      </c>
      <c r="BG221" s="88">
        <f>IF($Z$3="yes", 0.000923214285714283/$X221, 0.000923214285714283)</f>
        <v>8.3928571428571186E-2</v>
      </c>
      <c r="BH221" s="88">
        <f>IF($Z$3="yes", 0.00145544557823129/$X221, 0.00145544557823129)</f>
        <v>0.13231323438466272</v>
      </c>
      <c r="BI221" s="68"/>
      <c r="BJ221" s="68"/>
      <c r="BK221" s="68">
        <f>IF($BL$3="yes", MAX(0, (56860331 - 32869798.4) / 15059233.7053231), 32869798.4)</f>
        <v>32869798.399999999</v>
      </c>
      <c r="BL221" s="68">
        <f>IF($BL$3="yes", MAX(0, (56860331 - 21592013) / 15845687.0079452), 21592013)</f>
        <v>21592013</v>
      </c>
      <c r="BM221" s="68">
        <f>IF($BL$3="yes", MAX(0, (56860331 - 18739895.4) / 15627729.1799068), 18739895.4)</f>
        <v>18739895.399999999</v>
      </c>
      <c r="BN221" s="68">
        <f>IF($BL$3="yes", MAX(0, (56860331 - 21764568.74) / 28761962.0331154), 21764568.74)</f>
        <v>21764568.739999998</v>
      </c>
      <c r="BO221" s="68">
        <f>IF($BL$3="yes", MAX(0, (56860331 - 14425047.92) / 22672580.6723467), 14425047.92)</f>
        <v>14425047.92</v>
      </c>
      <c r="BP221" s="68">
        <f>IF($BL$3="yes", MAX(0, (56860331 - 13245885.48) / 19510715.5431008), 13245885.48)</f>
        <v>13245885.48</v>
      </c>
      <c r="BQ221" s="68">
        <v>78.759853666477881</v>
      </c>
      <c r="BR221" s="68"/>
      <c r="BS221" s="68"/>
      <c r="BT221" s="68">
        <v>101715144.04577219</v>
      </c>
      <c r="BU221" s="68">
        <v>-2580969.7898715138</v>
      </c>
      <c r="BV221" s="68">
        <f>IF($Z$3="yes", 0.00196072354583072/$X221, 0.00196072354583072)</f>
        <v>0.17824759507552002</v>
      </c>
      <c r="BW221" s="68">
        <f>IF($Z$3="yes", 0.00104482267524768/$X221, 0.00104482267524768)</f>
        <v>9.4983879567970914E-2</v>
      </c>
      <c r="BX221" s="68">
        <f>$BW$142 - $BV$142</f>
        <v>1.499253090253274E-2</v>
      </c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81"/>
      <c r="CR221" s="81"/>
      <c r="CS221" s="68"/>
      <c r="CT221" s="68"/>
      <c r="CU221" s="68"/>
    </row>
    <row r="222" spans="1:99" ht="15.75" customHeight="1" thickBot="1" x14ac:dyDescent="0.3">
      <c r="A222" s="84" t="s">
        <v>194</v>
      </c>
      <c r="B222" s="67" t="s">
        <v>128</v>
      </c>
      <c r="C222" s="83" t="s">
        <v>587</v>
      </c>
      <c r="D222" s="67" t="s">
        <v>588</v>
      </c>
      <c r="E222" s="67">
        <v>1</v>
      </c>
      <c r="F222" s="85">
        <v>2.4700000000000002</v>
      </c>
      <c r="G222" s="313">
        <v>44218</v>
      </c>
      <c r="H222" s="317">
        <v>4.5199999999999996</v>
      </c>
      <c r="I222" s="85">
        <v>30.99</v>
      </c>
      <c r="J222" s="313">
        <v>44224</v>
      </c>
      <c r="K222" s="225">
        <f t="shared" si="8"/>
        <v>0.82995951417004021</v>
      </c>
      <c r="L222" s="149">
        <f t="shared" si="9"/>
        <v>11.546558704453439</v>
      </c>
      <c r="M222" s="312">
        <v>44407</v>
      </c>
      <c r="N222" s="68"/>
      <c r="O222" s="291">
        <v>5131934</v>
      </c>
      <c r="P222" s="291">
        <v>3690000</v>
      </c>
      <c r="Q222" s="291">
        <v>4</v>
      </c>
      <c r="R222" s="68" t="s">
        <v>131</v>
      </c>
      <c r="S222" s="68" t="s">
        <v>220</v>
      </c>
      <c r="T222" s="68" t="s">
        <v>546</v>
      </c>
      <c r="U222" s="68">
        <v>292</v>
      </c>
      <c r="V222" s="68">
        <v>303568</v>
      </c>
      <c r="W222" s="68"/>
      <c r="X222" s="68">
        <v>2.4700000000000002</v>
      </c>
      <c r="Y222" s="68">
        <v>1.4134755000000021</v>
      </c>
      <c r="Z222" s="68">
        <v>1.669427999999999</v>
      </c>
      <c r="AA222" s="68">
        <v>1.8855599999999999</v>
      </c>
      <c r="AB222" s="68">
        <v>1.752559999999999</v>
      </c>
      <c r="AC222" s="68">
        <v>2.1149050000000011</v>
      </c>
      <c r="AD222" s="68">
        <v>2.1792857142857138</v>
      </c>
      <c r="AE222" s="68">
        <v>2.2974999999999999</v>
      </c>
      <c r="AF222" s="68">
        <f>IF($Z$3="yes", 0.00590653438835965/$X222, 0.00590653438835965)</f>
        <v>2.3913094689715178E-3</v>
      </c>
      <c r="AG222" s="68">
        <f>IF($Z$3="yes", 0.00921726492649267/$X222, 0.00921726492649267)</f>
        <v>3.7316862050577608E-3</v>
      </c>
      <c r="AH222" s="68">
        <f>IF($Z$3="yes", 0.012849642256903/$X222, 0.012849642256903)</f>
        <v>5.2022843145356273E-3</v>
      </c>
      <c r="AI222" s="68">
        <f>IF($Z$3="yes", 0.00773703721488626/$X222, 0.00773703721488626)</f>
        <v>3.1324037307231822E-3</v>
      </c>
      <c r="AJ222" s="68">
        <f>IF($Z$3="yes", 0.0278023308270681/$X222, 0.0278023308270681)</f>
        <v>1.1256004383428381E-2</v>
      </c>
      <c r="AK222" s="68">
        <f>IF($Z$3="yes", 0.0360659340659341/$X222, 0.0360659340659341)</f>
        <v>1.4601592739244574E-2</v>
      </c>
      <c r="AL222" s="68">
        <f>IF($Z$3="yes", 0.0252380952380959/$X222, 0.0252380952380959)</f>
        <v>1.0217852323115747E-2</v>
      </c>
      <c r="AM222" s="68">
        <f>IF($Z$3="yes", 0.255952499999996/$X222, 0.255952499999996)</f>
        <v>0.10362449392712386</v>
      </c>
      <c r="AN222" s="68">
        <f>IF($Z$3="yes", 0.472084499999997/$X222, 0.472084499999997)</f>
        <v>0.19112732793522144</v>
      </c>
      <c r="AO222" s="68">
        <f>IF($Z$3="yes", 0.339084499999996/$X222, 0.339084499999996)</f>
        <v>0.1372811740890672</v>
      </c>
      <c r="AP222" s="68">
        <f>IF($Z$3="yes", 0.701429499999998/$X222, 0.701429499999998)</f>
        <v>0.2839795546558696</v>
      </c>
      <c r="AQ222" s="68">
        <f>IF($Z$3="yes", 0.765810214285711/$X222, 0.765810214285711)</f>
        <v>0.31004462116830406</v>
      </c>
      <c r="AR222" s="68">
        <f>IF($Z$3="yes", 0.884024499999997/$X222, 0.884024499999997)</f>
        <v>0.35790465587044412</v>
      </c>
      <c r="AS222" s="68">
        <f>IF($Z$3="yes", 0.216132/$X222, 0.216132)</f>
        <v>8.750283400809715E-2</v>
      </c>
      <c r="AT222" s="68">
        <f>IF($Z$3="yes", 0.0831319999999999/$X222, 0.0831319999999999)</f>
        <v>3.365668016194328E-2</v>
      </c>
      <c r="AU222" s="88">
        <f>IF($Z$3="yes", 0.445477000000002/$X222, 0.445477000000002)</f>
        <v>0.18035506072874574</v>
      </c>
      <c r="AV222" s="88">
        <f>IF($Z$3="yes", 0.509857714285714/$X222, 0.509857714285714)</f>
        <v>0.20642012724117975</v>
      </c>
      <c r="AW222" s="88">
        <f>IF($Z$3="yes", 0.628072/$X222, 0.628072)</f>
        <v>0.25428016194331982</v>
      </c>
      <c r="AX222" s="88">
        <f>IF($Z$3="yes", 0.133/$X222, 0.133)</f>
        <v>5.3846153846153842E-2</v>
      </c>
      <c r="AY222" s="88">
        <f>IF($Z$3="yes", 0.362345000000002/$X222, 0.362345000000002)</f>
        <v>0.14669838056680243</v>
      </c>
      <c r="AZ222" s="88">
        <f>IF($Z$3="yes", 0.426725714285714/$X222, 0.426725714285714)</f>
        <v>0.17276344707923641</v>
      </c>
      <c r="BA222" s="88">
        <f>IF($Z$3="yes", 0.54494/$X222, 0.54494)</f>
        <v>0.2206234817813765</v>
      </c>
      <c r="BB222" s="88">
        <f>IF($Z$3="yes", 0.229345000000001/$X222, 0.229345000000001)</f>
        <v>9.2852226720648162E-2</v>
      </c>
      <c r="BC222" s="88">
        <f>IF($Z$3="yes", 0.293725714285714/$X222, 0.293725714285714)</f>
        <v>0.11891729323308257</v>
      </c>
      <c r="BD222" s="88">
        <f>IF($Z$3="yes", 0.41194/$X222, 0.41194)</f>
        <v>0.16677732793522265</v>
      </c>
      <c r="BE222" s="88">
        <f>IF($Z$3="yes", 0.0643807142857126/$X222, 0.0643807142857126)</f>
        <v>2.6065066512434249E-2</v>
      </c>
      <c r="BF222" s="88">
        <f>IF($Z$3="yes", 0.182594999999998/$X222, 0.182594999999998)</f>
        <v>7.3925101214574088E-2</v>
      </c>
      <c r="BG222" s="88">
        <f>IF($Z$3="yes", 0.118214285714286/$X222, 0.118214285714286)</f>
        <v>4.7860034702140078E-2</v>
      </c>
      <c r="BH222" s="88">
        <f>IF($Z$3="yes", 0.373453578231292/$X222, 0.373453578231292)</f>
        <v>0.15119578066044209</v>
      </c>
      <c r="BI222" s="68"/>
      <c r="BJ222" s="68"/>
      <c r="BK222" s="68">
        <f>IF($BL$3="yes", MAX(0, (303568 - 280390.4) / 180353.601135768), 280390.4)</f>
        <v>280390.40000000002</v>
      </c>
      <c r="BL222" s="68">
        <f>IF($BL$3="yes", MAX(0, (303568 - 315183.8) / 222373.229009609), 315183.8)</f>
        <v>315183.8</v>
      </c>
      <c r="BM222" s="68">
        <f>IF($BL$3="yes", MAX(0, (303568 - 924378.6) / 2642820.69998979), 924378.6)</f>
        <v>924378.6</v>
      </c>
      <c r="BN222" s="68">
        <f>IF($BL$3="yes", MAX(0, (303568 - 507820) / 1723120.69468085), 507820)</f>
        <v>507820</v>
      </c>
      <c r="BO222" s="68">
        <f>IF($BL$3="yes", MAX(0, (303568 - 376996.35) / 1273037.41546713), 376996.35)</f>
        <v>376996.35</v>
      </c>
      <c r="BP222" s="68">
        <f>IF($BL$3="yes", MAX(0, (303568 - 249386.28) / 924861.06441876), 249386.28)</f>
        <v>249386.28</v>
      </c>
      <c r="BQ222" s="68">
        <v>63.575247721376179</v>
      </c>
      <c r="BR222" s="68"/>
      <c r="BS222" s="68"/>
      <c r="BT222" s="68">
        <v>-9849540.9828811754</v>
      </c>
      <c r="BU222" s="68">
        <v>129345.8735783976</v>
      </c>
      <c r="BV222" s="68">
        <f>IF($Z$3="yes", 0.253768674242836/$X222, 0.253768674242836)</f>
        <v>0.10274035394446801</v>
      </c>
      <c r="BW222" s="68">
        <f>IF($Z$3="yes", 0.191065681676512/$X222, 0.191065681676512)</f>
        <v>7.7354526994539263E-2</v>
      </c>
      <c r="BX222" s="68">
        <f>$BW$132 - $BV$132</f>
        <v>0</v>
      </c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81"/>
      <c r="CR222" s="81"/>
      <c r="CS222" s="68"/>
      <c r="CT222" s="68"/>
      <c r="CU222" s="68"/>
    </row>
    <row r="223" spans="1:99" ht="15.75" customHeight="1" thickBot="1" x14ac:dyDescent="0.3">
      <c r="A223" s="84" t="s">
        <v>194</v>
      </c>
      <c r="B223" s="67" t="s">
        <v>128</v>
      </c>
      <c r="C223" s="83" t="s">
        <v>587</v>
      </c>
      <c r="D223" s="67" t="s">
        <v>490</v>
      </c>
      <c r="E223" s="67">
        <v>1</v>
      </c>
      <c r="F223" s="85">
        <v>2.67</v>
      </c>
      <c r="G223" s="313">
        <v>44218</v>
      </c>
      <c r="H223" s="317">
        <v>1.55</v>
      </c>
      <c r="I223" s="85">
        <v>3.3</v>
      </c>
      <c r="J223" s="313">
        <v>44239</v>
      </c>
      <c r="K223" s="125">
        <f t="shared" si="8"/>
        <v>-0.41947565543071152</v>
      </c>
      <c r="L223" s="226">
        <f t="shared" si="9"/>
        <v>0.23595505617977519</v>
      </c>
      <c r="M223" s="312">
        <v>44407</v>
      </c>
      <c r="N223" s="68"/>
      <c r="O223" s="291">
        <v>17486183</v>
      </c>
      <c r="P223" s="291">
        <v>5430000</v>
      </c>
      <c r="Q223" s="291">
        <v>19</v>
      </c>
      <c r="R223" s="68" t="s">
        <v>152</v>
      </c>
      <c r="S223" s="68" t="s">
        <v>281</v>
      </c>
      <c r="T223" s="68" t="s">
        <v>297</v>
      </c>
      <c r="U223" s="68">
        <v>4</v>
      </c>
      <c r="V223" s="68">
        <v>153737</v>
      </c>
      <c r="W223" s="68"/>
      <c r="X223" s="68">
        <v>2.67</v>
      </c>
      <c r="Y223" s="68">
        <v>2.0797410000000029</v>
      </c>
      <c r="Z223" s="68">
        <v>2.1095079999999999</v>
      </c>
      <c r="AA223" s="68">
        <v>2.3789660000000001</v>
      </c>
      <c r="AB223" s="68">
        <v>2.2975660000000011</v>
      </c>
      <c r="AC223" s="68">
        <v>2.4079999999999981</v>
      </c>
      <c r="AD223" s="68">
        <v>2.411428571428571</v>
      </c>
      <c r="AE223" s="68">
        <v>2.4887499999999991</v>
      </c>
      <c r="AF223" s="68">
        <f>IF($Z$3="yes", 0.00377334568364182/$X223, 0.00377334568364182)</f>
        <v>1.4132380837609813E-3</v>
      </c>
      <c r="AG223" s="68">
        <f>IF($Z$3="yes", 0.0105492049204919/$X223, 0.0105492049204919)</f>
        <v>3.9510130788359176E-3</v>
      </c>
      <c r="AH223" s="68">
        <f>IF($Z$3="yes", 0.00613730132052767/$X223, 0.00613730132052767)</f>
        <v>2.2986147267893896E-3</v>
      </c>
      <c r="AI223" s="68">
        <f>IF($Z$3="yes", 0.00912294357743042/$X223, 0.00912294357743042)</f>
        <v>3.4168328005357382E-3</v>
      </c>
      <c r="AJ223" s="68">
        <f>IF($Z$3="yes", 0.0112631578947406/$X223, 0.0112631578947406)</f>
        <v>4.2184111965320598E-3</v>
      </c>
      <c r="AK223" s="68">
        <f>IF($Z$3="yes", 0.0290989010989009/$X223, 0.0290989010989009)</f>
        <v>1.0898464831049027E-2</v>
      </c>
      <c r="AL223" s="68">
        <f>IF($Z$3="yes", 0.0408333333333334/$X223, 0.0408333333333334)</f>
        <v>1.5293383270911388E-2</v>
      </c>
      <c r="AM223" s="68">
        <f>IF($Z$3="yes", 0.0297669999999969/$X223, 0.0297669999999969)</f>
        <v>1.1148689138575618E-2</v>
      </c>
      <c r="AN223" s="68">
        <f>IF($Z$3="yes", 0.299224999999997/$X223, 0.299224999999997)</f>
        <v>0.112069288389512</v>
      </c>
      <c r="AO223" s="68">
        <f>IF($Z$3="yes", 0.217824999999998/$X223, 0.217824999999998)</f>
        <v>8.1582397003744575E-2</v>
      </c>
      <c r="AP223" s="68">
        <f>IF($Z$3="yes", 0.328258999999995/$X223, 0.328258999999995)</f>
        <v>0.12294344569288204</v>
      </c>
      <c r="AQ223" s="68">
        <f>IF($Z$3="yes", 0.331687571428568/$X223, 0.331687571428568)</f>
        <v>0.12422755484216029</v>
      </c>
      <c r="AR223" s="68">
        <f>IF($Z$3="yes", 0.409008999999996/$X223, 0.409008999999996)</f>
        <v>0.1531868913857663</v>
      </c>
      <c r="AS223" s="68">
        <f>IF($Z$3="yes", 0.269457999999999/$X223, 0.269457999999999)</f>
        <v>0.10092059925093595</v>
      </c>
      <c r="AT223" s="68">
        <f>IF($Z$3="yes", 0.188058/$X223, 0.188058)</f>
        <v>7.0433707865168546E-2</v>
      </c>
      <c r="AU223" s="88">
        <f>IF($Z$3="yes", 0.298491999999998/$X223, 0.298491999999998)</f>
        <v>0.11179475655430636</v>
      </c>
      <c r="AV223" s="88">
        <f>IF($Z$3="yes", 0.301920571428571/$X223, 0.301920571428571)</f>
        <v>0.11307886570358464</v>
      </c>
      <c r="AW223" s="88">
        <f>IF($Z$3="yes", 0.379241999999998/$X223, 0.379241999999998)</f>
        <v>0.14203820224719027</v>
      </c>
      <c r="AX223" s="88">
        <f>IF($Z$3="yes", 0.0813999999999994/$X223, 0.0813999999999994)</f>
        <v>3.0486891385767569E-2</v>
      </c>
      <c r="AY223" s="88">
        <f>IF($Z$3="yes", 0.110433999999997/$X223, 0.110433999999997)</f>
        <v>4.136104868913746E-2</v>
      </c>
      <c r="AZ223" s="88">
        <f>IF($Z$3="yes", 0.11386257142857/$X223, 0.11386257142857)</f>
        <v>4.2645157838415729E-2</v>
      </c>
      <c r="BA223" s="88">
        <f>IF($Z$3="yes", 0.191183999999998/$X223, 0.191183999999998)</f>
        <v>7.1604494382021724E-2</v>
      </c>
      <c r="BB223" s="88">
        <f>IF($Z$3="yes", 0.029033999999998/$X223, 0.029033999999998)</f>
        <v>1.0874157303370038E-2</v>
      </c>
      <c r="BC223" s="88">
        <f>IF($Z$3="yes", 0.0324625714285713/$X223, 0.0324625714285713)</f>
        <v>1.2158266452648427E-2</v>
      </c>
      <c r="BD223" s="88">
        <f>IF($Z$3="yes", 0.109783999999999/$X223, 0.109783999999999)</f>
        <v>4.1117602996254304E-2</v>
      </c>
      <c r="BE223" s="88">
        <f>IF($Z$3="yes", 0.00342857142857289/$X223, 0.00342857142857289)</f>
        <v>1.2841091492782359E-3</v>
      </c>
      <c r="BF223" s="88">
        <f>IF($Z$3="yes", 0.0807500000000009/$X223, 0.0807500000000009)</f>
        <v>3.0243445692884233E-2</v>
      </c>
      <c r="BG223" s="88">
        <f>IF($Z$3="yes", 0.0773214285714276/$X223, 0.0773214285714276)</f>
        <v>2.8959336543605843E-2</v>
      </c>
      <c r="BH223" s="88">
        <f>IF($Z$3="yes", 0.316422462585033/$X223, 0.316422462585033)</f>
        <v>0.11851028561237191</v>
      </c>
      <c r="BI223" s="68"/>
      <c r="BJ223" s="68"/>
      <c r="BK223" s="68">
        <f>IF($BL$3="yes", MAX(0, (153737 - 110657.8) / 34422.8133969319), 110657.8)</f>
        <v>110657.8</v>
      </c>
      <c r="BL223" s="68">
        <f>IF($BL$3="yes", MAX(0, (153737 - 161145.3) / 174673.78039766), 161145.3)</f>
        <v>161145.29999999999</v>
      </c>
      <c r="BM223" s="68">
        <f>IF($BL$3="yes", MAX(0, (153737 - 136407.9) / 134572.951524033), 136407.9)</f>
        <v>136407.9</v>
      </c>
      <c r="BN223" s="68">
        <f>IF($BL$3="yes", MAX(0, (153737 - 647032.74) / 3220765.93521722), 647032.74)</f>
        <v>647032.74</v>
      </c>
      <c r="BO223" s="68">
        <f>IF($BL$3="yes", MAX(0, (153737 - 560328.11) / 2391297.25062361), 560328.11)</f>
        <v>560328.11</v>
      </c>
      <c r="BP223" s="68">
        <f>IF($BL$3="yes", MAX(0, (153737 - 583366.068333333) / 3371823.42006477), 583366.068333333)</f>
        <v>583366.06833333301</v>
      </c>
      <c r="BQ223" s="68">
        <v>61.582274781203552</v>
      </c>
      <c r="BR223" s="68"/>
      <c r="BS223" s="68"/>
      <c r="BT223" s="68">
        <v>-26898545.94987097</v>
      </c>
      <c r="BU223" s="68">
        <v>-24739.82847223058</v>
      </c>
      <c r="BV223" s="68">
        <f>IF($Z$3="yes", 0.21358552722658/$X223, 0.21358552722658)</f>
        <v>7.9994579485610492E-2</v>
      </c>
      <c r="BW223" s="68">
        <f>IF($Z$3="yes", 0.244280310215307/$X223, 0.244280310215307)</f>
        <v>9.1490752889628088E-2</v>
      </c>
      <c r="BX223" s="68">
        <f>$BW$135 - $BV$135</f>
        <v>0.11630731301121669</v>
      </c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81"/>
      <c r="CR223" s="81"/>
      <c r="CS223" s="68"/>
      <c r="CT223" s="68"/>
      <c r="CU223" s="68"/>
    </row>
    <row r="224" spans="1:99" ht="15.75" customHeight="1" thickBot="1" x14ac:dyDescent="0.3">
      <c r="A224" s="84" t="s">
        <v>194</v>
      </c>
      <c r="B224" s="67" t="s">
        <v>128</v>
      </c>
      <c r="C224" s="83" t="s">
        <v>587</v>
      </c>
      <c r="D224" s="67" t="s">
        <v>589</v>
      </c>
      <c r="E224" s="67">
        <v>1</v>
      </c>
      <c r="F224" s="85">
        <v>2.65</v>
      </c>
      <c r="G224" s="313">
        <v>44218</v>
      </c>
      <c r="H224" s="317">
        <v>2.31</v>
      </c>
      <c r="I224" s="85">
        <v>4.45</v>
      </c>
      <c r="J224" s="313">
        <v>44237</v>
      </c>
      <c r="K224" s="229">
        <f t="shared" si="8"/>
        <v>-0.1283018867924528</v>
      </c>
      <c r="L224" s="230">
        <f t="shared" si="9"/>
        <v>0.679245283018868</v>
      </c>
      <c r="M224" s="312">
        <v>44407</v>
      </c>
      <c r="N224" s="68"/>
      <c r="O224" s="291">
        <v>11911784</v>
      </c>
      <c r="P224" s="291">
        <v>8930000</v>
      </c>
      <c r="Q224" s="291">
        <v>17</v>
      </c>
      <c r="R224" s="68" t="s">
        <v>131</v>
      </c>
      <c r="S224" s="68" t="s">
        <v>148</v>
      </c>
      <c r="T224" s="68" t="s">
        <v>242</v>
      </c>
      <c r="U224" s="68">
        <v>784</v>
      </c>
      <c r="V224" s="68">
        <v>1186469</v>
      </c>
      <c r="W224" s="68"/>
      <c r="X224" s="68">
        <v>2.65</v>
      </c>
      <c r="Y224" s="68">
        <v>4.3988779999999998</v>
      </c>
      <c r="Z224" s="68">
        <v>2.6290560000000029</v>
      </c>
      <c r="AA224" s="68">
        <v>2.3160120000000002</v>
      </c>
      <c r="AB224" s="68">
        <v>2.2627120000000001</v>
      </c>
      <c r="AC224" s="68">
        <v>2.310029999999998</v>
      </c>
      <c r="AD224" s="68">
        <v>2.4049999999999998</v>
      </c>
      <c r="AE224" s="68">
        <v>2.4824999999999999</v>
      </c>
      <c r="AF224" s="68">
        <f>IF($Z$3="yes", -0.0336992778819473/$X224, -0.0336992778819473)</f>
        <v>-1.2716708634697095E-2</v>
      </c>
      <c r="AG224" s="68">
        <f>IF($Z$3="yes", -0.0142899321932196/$X224, -0.0142899321932196)</f>
        <v>-5.3924272427243779E-3</v>
      </c>
      <c r="AH224" s="68">
        <f>IF($Z$3="yes", -0.0000524465786313273/$X224, -0.0000524465786313273)</f>
        <v>-1.9791161747670681E-5</v>
      </c>
      <c r="AI224" s="68">
        <f>IF($Z$3="yes", -0.00275127010804305/$X224, -0.00275127010804305)</f>
        <v>-1.0382151351105849E-3</v>
      </c>
      <c r="AJ224" s="68">
        <f>IF($Z$3="yes", 0.030037443609027/$X224, 0.030037443609027)</f>
        <v>1.1334884380764906E-2</v>
      </c>
      <c r="AK224" s="68">
        <f>IF($Z$3="yes", 0.030967032967033/$X224, 0.030967032967033)</f>
        <v>1.1685672817748302E-2</v>
      </c>
      <c r="AL224" s="68">
        <f>IF($Z$3="yes", 0.0400000000000011/$X224, 0.0400000000000011)</f>
        <v>1.5094339622641924E-2</v>
      </c>
      <c r="AM224" s="68">
        <f>IF($Z$3="yes", 1.76982199999999/$X224, 1.76982199999999)</f>
        <v>0.66785735849056227</v>
      </c>
      <c r="AN224" s="68">
        <f>IF($Z$3="yes", 2.08286599999999/$X224, 2.08286599999999)</f>
        <v>0.785987169811317</v>
      </c>
      <c r="AO224" s="68">
        <f>IF($Z$3="yes", 2.136166/$X224, 2.136166)</f>
        <v>0.80610037735849049</v>
      </c>
      <c r="AP224" s="68">
        <f>IF($Z$3="yes", 2.088848/$X224, 2.088848)</f>
        <v>0.78824452830188685</v>
      </c>
      <c r="AQ224" s="68">
        <f>IF($Z$3="yes", 1.993878/$X224, 1.993878)</f>
        <v>0.75240679245283026</v>
      </c>
      <c r="AR224" s="68">
        <f>IF($Z$3="yes", 1.916378/$X224, 1.916378)</f>
        <v>0.72316150943396229</v>
      </c>
      <c r="AS224" s="68">
        <f>IF($Z$3="yes", 0.313044000000003/$X224, 0.313044000000003)</f>
        <v>0.11812981132075585</v>
      </c>
      <c r="AT224" s="68">
        <f>IF($Z$3="yes", 0.366344000000003/$X224, 0.366344000000003)</f>
        <v>0.13824301886792567</v>
      </c>
      <c r="AU224" s="88">
        <f>IF($Z$3="yes", 0.319026000000004/$X224, 0.319026000000004)</f>
        <v>0.12038716981132226</v>
      </c>
      <c r="AV224" s="88">
        <f>IF($Z$3="yes", 0.224056000000003/$X224, 0.224056000000003)</f>
        <v>8.4549433962265289E-2</v>
      </c>
      <c r="AW224" s="88">
        <f>IF($Z$3="yes", 0.146556000000003/$X224, 0.146556000000003)</f>
        <v>5.5304150943397357E-2</v>
      </c>
      <c r="AX224" s="88">
        <f>IF($Z$3="yes", 0.0532999999999996/$X224, 0.0532999999999996)</f>
        <v>2.0113207547169661E-2</v>
      </c>
      <c r="AY224" s="88">
        <f>IF($Z$3="yes", 0.0473179999999984/$X224, 0.0473179999999984)</f>
        <v>1.785584905660317E-2</v>
      </c>
      <c r="AZ224" s="88">
        <f>IF($Z$3="yes", 0.142287999999999/$X224, 0.142287999999999)</f>
        <v>5.3693584905660001E-2</v>
      </c>
      <c r="BA224" s="88">
        <f>IF($Z$3="yes", 0.219787999999999/$X224, 0.219787999999999)</f>
        <v>8.2938867924527926E-2</v>
      </c>
      <c r="BB224" s="88">
        <f>IF($Z$3="yes", 0.0059820000000017/$X224, 0.0059820000000017)</f>
        <v>2.2573584905666794E-3</v>
      </c>
      <c r="BC224" s="88">
        <f>IF($Z$3="yes", 0.088988/$X224, 0.088988)</f>
        <v>3.3580377358490565E-2</v>
      </c>
      <c r="BD224" s="88">
        <f>IF($Z$3="yes", 0.166488/$X224, 0.166488)</f>
        <v>6.2825660377358497E-2</v>
      </c>
      <c r="BE224" s="88">
        <f>IF($Z$3="yes", 0.0949700000000013/$X224, 0.0949700000000013)</f>
        <v>3.5837735849057098E-2</v>
      </c>
      <c r="BF224" s="88">
        <f>IF($Z$3="yes", 0.172470000000001/$X224, 0.172470000000001)</f>
        <v>6.5083018867924919E-2</v>
      </c>
      <c r="BG224" s="88">
        <f>IF($Z$3="yes", 0.0775000000000001/$X224, 0.0775000000000001)</f>
        <v>2.9245283018867963E-2</v>
      </c>
      <c r="BH224" s="88">
        <f>IF($Z$3="yes", 0.318373904761905/$X224, 0.318373904761905)</f>
        <v>0.12014109613656794</v>
      </c>
      <c r="BI224" s="68"/>
      <c r="BJ224" s="68"/>
      <c r="BK224" s="68">
        <f>IF($BL$3="yes", MAX(0, (1186469 - 3038455.4) / 3158112.83444424), 3038455.4)</f>
        <v>3038455.4</v>
      </c>
      <c r="BL224" s="68">
        <f>IF($BL$3="yes", MAX(0, (1186469 - 2682050.1) / 2315025.66109887), 2682050.1)</f>
        <v>2682050.1</v>
      </c>
      <c r="BM224" s="68">
        <f>IF($BL$3="yes", MAX(0, (1186469 - 1674002.85) / 1961859.02001041), 1674002.85)</f>
        <v>1674002.85</v>
      </c>
      <c r="BN224" s="68">
        <f>IF($BL$3="yes", MAX(0, (1186469 - 873828.16) / 1427603.43735245), 873828.16)</f>
        <v>873828.16</v>
      </c>
      <c r="BO224" s="68">
        <f>IF($BL$3="yes", MAX(0, (1186469 - 727591.72) / 1273470.33819521), 727591.72)</f>
        <v>727591.72</v>
      </c>
      <c r="BP224" s="68">
        <f>IF($BL$3="yes", MAX(0, (1186469 - 815939.915) / 1766111.34081175), 815939.915)</f>
        <v>815939.91500000004</v>
      </c>
      <c r="BQ224" s="68">
        <v>63.819327382615917</v>
      </c>
      <c r="BR224" s="68"/>
      <c r="BS224" s="68"/>
      <c r="BT224" s="68">
        <v>-13335541.30288448</v>
      </c>
      <c r="BU224" s="68">
        <v>-1997839.202313097</v>
      </c>
      <c r="BV224" s="68">
        <f>IF($Z$3="yes", 0.211303099034515/$X224, 0.211303099034515)</f>
        <v>7.9737018503590565E-2</v>
      </c>
      <c r="BW224" s="68">
        <f>IF($Z$3="yes", 0.185086872842692/$X224, 0.185086872842692)</f>
        <v>6.9844102959506424E-2</v>
      </c>
      <c r="BX224" s="68">
        <f>$BW$138 - $BV$138</f>
        <v>-0.26499199964121184</v>
      </c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81"/>
      <c r="CR224" s="81"/>
      <c r="CS224" s="68"/>
      <c r="CT224" s="68"/>
      <c r="CU224" s="68"/>
    </row>
    <row r="225" spans="1:99" ht="15.75" customHeight="1" thickBot="1" x14ac:dyDescent="0.3">
      <c r="A225" s="84" t="s">
        <v>590</v>
      </c>
      <c r="B225" s="67" t="s">
        <v>128</v>
      </c>
      <c r="C225" s="83" t="s">
        <v>587</v>
      </c>
      <c r="D225" s="67" t="s">
        <v>591</v>
      </c>
      <c r="E225" s="67">
        <v>1</v>
      </c>
      <c r="F225" s="85">
        <v>7.15</v>
      </c>
      <c r="G225" s="313">
        <v>44218</v>
      </c>
      <c r="H225" s="317">
        <v>2.84</v>
      </c>
      <c r="I225" s="85">
        <v>8.2370000000000001</v>
      </c>
      <c r="J225" s="313">
        <v>44221</v>
      </c>
      <c r="K225" s="125">
        <f t="shared" si="8"/>
        <v>-0.60279720279720284</v>
      </c>
      <c r="L225" s="157">
        <f t="shared" si="9"/>
        <v>0.15202797202797202</v>
      </c>
      <c r="M225" s="312">
        <v>44407</v>
      </c>
      <c r="N225" s="68"/>
      <c r="O225" s="291">
        <v>3040123</v>
      </c>
      <c r="P225" s="291">
        <v>10210000</v>
      </c>
      <c r="Q225" s="291">
        <v>1</v>
      </c>
      <c r="R225" s="68" t="s">
        <v>592</v>
      </c>
      <c r="S225" s="68" t="s">
        <v>473</v>
      </c>
      <c r="T225" s="68" t="s">
        <v>593</v>
      </c>
      <c r="U225" s="68">
        <v>160</v>
      </c>
      <c r="V225" s="68">
        <v>374230</v>
      </c>
      <c r="W225" s="68"/>
      <c r="X225" s="68">
        <v>7.15</v>
      </c>
      <c r="Y225" s="68">
        <v>26.8082305000001</v>
      </c>
      <c r="Z225" s="68">
        <v>9.163860000000005</v>
      </c>
      <c r="AA225" s="68">
        <v>7.3157200000000024</v>
      </c>
      <c r="AB225" s="68">
        <v>7.426320000000004</v>
      </c>
      <c r="AC225" s="68">
        <v>6.4270000000000058</v>
      </c>
      <c r="AD225" s="68">
        <v>6.6392857142857142</v>
      </c>
      <c r="AE225" s="68">
        <v>6.8587500000000006</v>
      </c>
      <c r="AF225" s="68">
        <f>IF($Z$3="yes", -0.372098940748523/$X225, -0.372098940748523)</f>
        <v>-5.2041809894898323E-2</v>
      </c>
      <c r="AG225" s="68">
        <f>IF($Z$3="yes", -0.0779528712871291/$X225, -0.0779528712871291)</f>
        <v>-1.0902499480717356E-2</v>
      </c>
      <c r="AH225" s="68">
        <f>IF($Z$3="yes", -0.0626106122449/$X225, -0.0626106122449)</f>
        <v>-8.7567289853006988E-3</v>
      </c>
      <c r="AI225" s="68">
        <f>IF($Z$3="yes", -0.0518586314525833/$X225, -0.0518586314525833)</f>
        <v>-7.2529554479137479E-3</v>
      </c>
      <c r="AJ225" s="68">
        <f>IF($Z$3="yes", 0.0692180451127709/$X225, 0.0692180451127709)</f>
        <v>9.6808454703176065E-3</v>
      </c>
      <c r="AK225" s="68">
        <f>IF($Z$3="yes", 0.0816043956043949/$X225, 0.0816043956043949)</f>
        <v>1.1413202182432853E-2</v>
      </c>
      <c r="AL225" s="68">
        <f>IF($Z$3="yes", 0.0444047619047614/$X225, 0.0444047619047614)</f>
        <v>6.2104562104561391E-3</v>
      </c>
      <c r="AM225" s="68">
        <f>IF($Z$3="yes", 17.6443705/$X225, 17.6443705)</f>
        <v>2.4677441258741259</v>
      </c>
      <c r="AN225" s="68">
        <f>IF($Z$3="yes", 19.4925105/$X225, 19.4925105)</f>
        <v>2.7262252447552449</v>
      </c>
      <c r="AO225" s="68">
        <f>IF($Z$3="yes", 19.3819105/$X225, 19.3819105)</f>
        <v>2.7107567132867132</v>
      </c>
      <c r="AP225" s="68">
        <f>IF($Z$3="yes", 20.3812305/$X225, 20.3812305)</f>
        <v>2.8505217482517482</v>
      </c>
      <c r="AQ225" s="68">
        <f>IF($Z$3="yes", 20.1689447857143/$X225, 20.1689447857143)</f>
        <v>2.8208314385614401</v>
      </c>
      <c r="AR225" s="68">
        <f>IF($Z$3="yes", 19.9494805/$X225, 19.9494805)</f>
        <v>2.7901371328671329</v>
      </c>
      <c r="AS225" s="68">
        <f>IF($Z$3="yes", 1.84814/$X225, 1.84814)</f>
        <v>0.25848111888111885</v>
      </c>
      <c r="AT225" s="68">
        <f>IF($Z$3="yes", 1.73754/$X225, 1.73754)</f>
        <v>0.24301258741258741</v>
      </c>
      <c r="AU225" s="88">
        <f>IF($Z$3="yes", 2.73685999999999/$X225, 2.73685999999999)</f>
        <v>0.38277762237762092</v>
      </c>
      <c r="AV225" s="88">
        <f>IF($Z$3="yes", 2.52457428571429/$X225, 2.52457428571429)</f>
        <v>0.35308731268731325</v>
      </c>
      <c r="AW225" s="88">
        <f>IF($Z$3="yes", 2.30511/$X225, 2.30511)</f>
        <v>0.32239300699300699</v>
      </c>
      <c r="AX225" s="88">
        <f>IF($Z$3="yes", 0.110600000000002/$X225, 0.110600000000002)</f>
        <v>1.5468531468531747E-2</v>
      </c>
      <c r="AY225" s="88">
        <f>IF($Z$3="yes", 0.999319999999998/$X225, 0.999319999999998)</f>
        <v>0.13976503496503467</v>
      </c>
      <c r="AZ225" s="88">
        <f>IF($Z$3="yes", 0.787034285714289/$X225, 0.787034285714289)</f>
        <v>0.11007472527472573</v>
      </c>
      <c r="BA225" s="88">
        <f>IF($Z$3="yes", 0.567570000000003/$X225, 0.567570000000003)</f>
        <v>7.9380419580419997E-2</v>
      </c>
      <c r="BB225" s="88">
        <f>IF($Z$3="yes", 0.888719999999996/$X225, 0.888719999999996)</f>
        <v>0.12429650349650292</v>
      </c>
      <c r="BC225" s="88">
        <f>IF($Z$3="yes", 0.676434285714287/$X225, 0.676434285714287)</f>
        <v>9.4606193806193978E-2</v>
      </c>
      <c r="BD225" s="88">
        <f>IF($Z$3="yes", 0.456970000000001/$X225, 0.456970000000001)</f>
        <v>6.3911888111888249E-2</v>
      </c>
      <c r="BE225" s="88">
        <f>IF($Z$3="yes", 0.212285714285708/$X225, 0.212285714285708)</f>
        <v>2.9690309690308808E-2</v>
      </c>
      <c r="BF225" s="88">
        <f>IF($Z$3="yes", 0.431749999999994/$X225, 0.431749999999994)</f>
        <v>6.0384615384614544E-2</v>
      </c>
      <c r="BG225" s="88">
        <f>IF($Z$3="yes", 0.219464285714286/$X225, 0.219464285714286)</f>
        <v>3.0694305694305733E-2</v>
      </c>
      <c r="BH225" s="88">
        <f>IF($Z$3="yes", 1.17768918367347/$X225, 1.17768918367347)</f>
        <v>0.16471177394034545</v>
      </c>
      <c r="BI225" s="68"/>
      <c r="BJ225" s="68"/>
      <c r="BK225" s="68">
        <f>IF($BL$3="yes", MAX(0, (374230 - 302806) / 113805.76436543), 302806)</f>
        <v>302806</v>
      </c>
      <c r="BL225" s="68">
        <f>IF($BL$3="yes", MAX(0, (374230 - 373279.2) / 183964.385623304), 373279.2)</f>
        <v>373279.2</v>
      </c>
      <c r="BM225" s="68">
        <f>IF($BL$3="yes", MAX(0, (374230 - 322922.2) / 159024.735002954), 322922.2)</f>
        <v>322922.2</v>
      </c>
      <c r="BN225" s="68">
        <f>IF($BL$3="yes", MAX(0, (374230 - 323489.66) / 251532.257562294), 323489.66)</f>
        <v>323489.65999999997</v>
      </c>
      <c r="BO225" s="68">
        <f>IF($BL$3="yes", MAX(0, (374230 - 319116.2445) / 590174.600491935), 319116.2445)</f>
        <v>319116.24449999997</v>
      </c>
      <c r="BP225" s="68">
        <f>IF($BL$3="yes", MAX(0, (374230 - 214026.233649999) / 446483.376536833), 214026.233649999)</f>
        <v>214026.23364999899</v>
      </c>
      <c r="BQ225" s="68">
        <v>55.05275614732593</v>
      </c>
      <c r="BR225" s="68"/>
      <c r="BS225" s="68"/>
      <c r="BT225" s="68">
        <v>-2184979.5405335599</v>
      </c>
      <c r="BU225" s="68">
        <v>115486.5876710829</v>
      </c>
      <c r="BV225" s="68">
        <f>IF($Z$3="yes", 0.491756675362359/$X225, 0.491756675362359)</f>
        <v>6.8777157393336924E-2</v>
      </c>
      <c r="BW225" s="68">
        <f>IF($Z$3="yes", 0.748012209039022/$X225, 0.748012209039022)</f>
        <v>0.10461709217328978</v>
      </c>
      <c r="BX225" s="68">
        <f>$BW$133 - $BV$133</f>
        <v>4.2363533934278996E-2</v>
      </c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81"/>
      <c r="CR225" s="81"/>
      <c r="CS225" s="68"/>
      <c r="CT225" s="68"/>
      <c r="CU225" s="68"/>
    </row>
    <row r="226" spans="1:99" ht="15.75" customHeight="1" thickBot="1" x14ac:dyDescent="0.3">
      <c r="A226" s="84" t="s">
        <v>205</v>
      </c>
      <c r="B226" s="67" t="s">
        <v>128</v>
      </c>
      <c r="C226" s="83" t="s">
        <v>587</v>
      </c>
      <c r="D226" s="67" t="s">
        <v>470</v>
      </c>
      <c r="E226" s="67">
        <v>1</v>
      </c>
      <c r="F226" s="85">
        <v>3.33</v>
      </c>
      <c r="G226" s="313">
        <v>44218</v>
      </c>
      <c r="H226" s="317">
        <v>2.98</v>
      </c>
      <c r="I226" s="85">
        <v>4.0999999999999996</v>
      </c>
      <c r="J226" s="313">
        <v>44243</v>
      </c>
      <c r="K226" s="90">
        <f t="shared" si="8"/>
        <v>-0.10510510510510518</v>
      </c>
      <c r="L226" s="118">
        <f t="shared" si="9"/>
        <v>0.23123123123123102</v>
      </c>
      <c r="M226" s="312">
        <v>44407</v>
      </c>
      <c r="N226" s="68"/>
      <c r="O226" s="291">
        <v>14890094</v>
      </c>
      <c r="P226" s="291">
        <v>11450000</v>
      </c>
      <c r="Q226" s="291">
        <v>23</v>
      </c>
      <c r="R226" s="68" t="s">
        <v>131</v>
      </c>
      <c r="S226" s="68" t="s">
        <v>188</v>
      </c>
      <c r="T226" s="68" t="s">
        <v>339</v>
      </c>
      <c r="U226" s="68">
        <v>544</v>
      </c>
      <c r="V226" s="68">
        <v>1726809</v>
      </c>
      <c r="W226" s="68"/>
      <c r="X226" s="68">
        <v>3.33</v>
      </c>
      <c r="Y226" s="68" t="e">
        <v>#N/A</v>
      </c>
      <c r="Z226" s="68">
        <v>4.8399229999999998</v>
      </c>
      <c r="AA226" s="68">
        <v>4.4582459999999982</v>
      </c>
      <c r="AB226" s="68">
        <v>4.7354459999999978</v>
      </c>
      <c r="AC226" s="68">
        <v>3.8605</v>
      </c>
      <c r="AD226" s="68">
        <v>3.6071428571428559</v>
      </c>
      <c r="AE226" s="68">
        <v>3.1899999999999991</v>
      </c>
      <c r="AF226" s="68" t="e">
        <f>IF($Z$3="yes", #N/A/$X226, #N/A)</f>
        <v>#N/A</v>
      </c>
      <c r="AG226" s="68">
        <f>IF($Z$3="yes", -0.0200134563456345/$X226, -0.0200134563456345)</f>
        <v>-6.0100469506409902E-3</v>
      </c>
      <c r="AH226" s="68">
        <f>IF($Z$3="yes", -0.0351196878751492/$X226, -0.0351196878751492)</f>
        <v>-1.0546452815360119E-2</v>
      </c>
      <c r="AI226" s="68">
        <f>IF($Z$3="yes", -0.00627234093637405/$X226, -0.00627234093637405)</f>
        <v>-1.883585866778994E-3</v>
      </c>
      <c r="AJ226" s="68">
        <f>IF($Z$3="yes", -0.0933308270676693/$X226, -0.0933308270676693)</f>
        <v>-2.8027275395696487E-2</v>
      </c>
      <c r="AK226" s="68">
        <f>IF($Z$3="yes", -0.112351648351647/$X226, -0.112351648351647)</f>
        <v>-3.3739233739233335E-2</v>
      </c>
      <c r="AL226" s="68">
        <f>IF($Z$3="yes", 0.000714285714284049/$X226, 0.000714285714284049)</f>
        <v>2.1450021449971439E-4</v>
      </c>
      <c r="AM226" s="68"/>
      <c r="AN226" s="68"/>
      <c r="AO226" s="68"/>
      <c r="AP226" s="68"/>
      <c r="AQ226" s="68"/>
      <c r="AR226" s="68"/>
      <c r="AS226" s="68">
        <f>IF($Z$3="yes", 0.381677000000001/$X226, 0.381677000000001)</f>
        <v>0.11461771771771802</v>
      </c>
      <c r="AT226" s="68">
        <f>IF($Z$3="yes", 0.104477000000001/$X226, 0.104477000000001)</f>
        <v>3.1374474474474771E-2</v>
      </c>
      <c r="AU226" s="88">
        <f>IF($Z$3="yes", 0.979422999999999/$X226, 0.979422999999999)</f>
        <v>0.29412102102102072</v>
      </c>
      <c r="AV226" s="88">
        <f>IF($Z$3="yes", 1.23278014285714/$X226, 1.23278014285714)</f>
        <v>0.37020424710424626</v>
      </c>
      <c r="AW226" s="88">
        <f>IF($Z$3="yes", 1.649923/$X226, 1.649923)</f>
        <v>0.49547237237237235</v>
      </c>
      <c r="AX226" s="88">
        <f>IF($Z$3="yes", 0.277199999999999/$X226, 0.277199999999999)</f>
        <v>8.3243243243242948E-2</v>
      </c>
      <c r="AY226" s="88">
        <f>IF($Z$3="yes", 0.874945999999997/$X226, 0.874945999999997)</f>
        <v>0.26274654654654567</v>
      </c>
      <c r="AZ226" s="88">
        <f>IF($Z$3="yes", 1.12830314285714/$X226, 1.12830314285714)</f>
        <v>0.33882977262977176</v>
      </c>
      <c r="BA226" s="88">
        <f>IF($Z$3="yes", 1.54544599999999/$X226, 1.54544599999999)</f>
        <v>0.46409789789789491</v>
      </c>
      <c r="BB226" s="88">
        <f>IF($Z$3="yes", 0.597745999999997/$X226, 0.597745999999997)</f>
        <v>0.17950330330330239</v>
      </c>
      <c r="BC226" s="88">
        <f>IF($Z$3="yes", 0.851103142857141/$X226, 0.851103142857141)</f>
        <v>0.25558652938652882</v>
      </c>
      <c r="BD226" s="88">
        <f>IF($Z$3="yes", 1.26824599999999/$X226, 1.26824599999999)</f>
        <v>0.38085465465465163</v>
      </c>
      <c r="BE226" s="88">
        <f>IF($Z$3="yes", 0.253357142857144/$X226, 0.253357142857144)</f>
        <v>7.608322608322643E-2</v>
      </c>
      <c r="BF226" s="88">
        <f>IF($Z$3="yes", 0.670500000000001/$X226, 0.670500000000001)</f>
        <v>0.20135135135135165</v>
      </c>
      <c r="BG226" s="88">
        <f>IF($Z$3="yes", 0.417142857142857/$X226, 0.417142857142857)</f>
        <v>0.12526812526812522</v>
      </c>
      <c r="BH226" s="88">
        <f>IF($Z$3="yes", 0.745401959183673/$X226, 0.745401959183673)</f>
        <v>0.22384443218728919</v>
      </c>
      <c r="BI226" s="68"/>
      <c r="BJ226" s="68"/>
      <c r="BK226" s="68">
        <f>IF($BL$3="yes", MAX(0, (1726809 - 1821971.6) / 257480.000513903), 1821971.6)</f>
        <v>1821971.6</v>
      </c>
      <c r="BL226" s="68">
        <f>IF($BL$3="yes", MAX(0, (1726809 - 1425614.3) / 908563.36765919), 1425614.3)</f>
        <v>1425614.3</v>
      </c>
      <c r="BM226" s="68">
        <f>IF($BL$3="yes", MAX(0, (1726809 - 742306.25) / 938607.782628978), 742306.25)</f>
        <v>742306.25</v>
      </c>
      <c r="BN226" s="68">
        <f>IF($BL$3="yes", MAX(0, (1726809 - 399639.56) / 792292.025943191), 399639.56)</f>
        <v>399639.56</v>
      </c>
      <c r="BO226" s="68">
        <f>IF($BL$3="yes", MAX(0, (1726809 - 232940.87) / 592475.604245012), 232940.87)</f>
        <v>232940.87</v>
      </c>
      <c r="BP226" s="68">
        <f>IF($BL$3="yes", MAX(0, (1726809 - 249303.485148514) / 611821.330815964), 249303.485148514)</f>
        <v>249303.48514851401</v>
      </c>
      <c r="BQ226" s="68">
        <v>35.232341465048492</v>
      </c>
      <c r="BR226" s="68"/>
      <c r="BS226" s="68"/>
      <c r="BT226" s="68">
        <v>-4601721.413602856</v>
      </c>
      <c r="BU226" s="68">
        <v>211350.55672037229</v>
      </c>
      <c r="BV226" s="68">
        <f>IF($Z$3="yes", 0.354855781792154/$X226, 0.354855781792154)</f>
        <v>0.10656329783548167</v>
      </c>
      <c r="BW226" s="68">
        <f>IF($Z$3="yes", 0.484727062649214/$X226, 0.484727062649214)</f>
        <v>0.14556368247724144</v>
      </c>
      <c r="BX226" s="68">
        <f>$BW$134 - $BV$134</f>
        <v>0.20749812762261913</v>
      </c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81"/>
      <c r="CR226" s="81"/>
      <c r="CS226" s="68"/>
      <c r="CT226" s="68"/>
      <c r="CU226" s="68"/>
    </row>
    <row r="227" spans="1:99" ht="15.75" customHeight="1" thickBot="1" x14ac:dyDescent="0.3">
      <c r="A227" s="84" t="s">
        <v>194</v>
      </c>
      <c r="B227" s="67" t="s">
        <v>128</v>
      </c>
      <c r="C227" s="83" t="s">
        <v>587</v>
      </c>
      <c r="D227" s="67" t="s">
        <v>594</v>
      </c>
      <c r="E227" s="67">
        <v>1</v>
      </c>
      <c r="F227" s="85">
        <v>0.96</v>
      </c>
      <c r="G227" s="313">
        <v>44218</v>
      </c>
      <c r="H227" s="317">
        <v>0.71809999999999996</v>
      </c>
      <c r="I227" s="85">
        <v>1.44</v>
      </c>
      <c r="J227" s="313">
        <v>44243</v>
      </c>
      <c r="K227" s="227">
        <f t="shared" si="8"/>
        <v>-0.25197916666666664</v>
      </c>
      <c r="L227" s="220">
        <f t="shared" si="9"/>
        <v>0.5</v>
      </c>
      <c r="M227" s="312">
        <v>44407</v>
      </c>
      <c r="N227" s="68"/>
      <c r="O227" s="291">
        <v>25764207</v>
      </c>
      <c r="P227" s="291">
        <v>11480000</v>
      </c>
      <c r="Q227" s="291">
        <v>23</v>
      </c>
      <c r="R227" s="68" t="s">
        <v>131</v>
      </c>
      <c r="S227" s="68" t="s">
        <v>148</v>
      </c>
      <c r="T227" s="67" t="s">
        <v>595</v>
      </c>
      <c r="U227" s="68">
        <v>340</v>
      </c>
      <c r="V227" s="68">
        <v>1767796</v>
      </c>
      <c r="W227" s="68"/>
      <c r="X227" s="68">
        <v>0.96</v>
      </c>
      <c r="Y227" s="68">
        <v>0.56915450000000112</v>
      </c>
      <c r="Z227" s="68">
        <v>0.49254700000000001</v>
      </c>
      <c r="AA227" s="68">
        <v>0.56878600000000012</v>
      </c>
      <c r="AB227" s="68">
        <v>0.49987800000000021</v>
      </c>
      <c r="AC227" s="68">
        <v>0.69126999999999983</v>
      </c>
      <c r="AD227" s="68">
        <v>0.75074285714285727</v>
      </c>
      <c r="AE227" s="68">
        <v>0.81828750000000017</v>
      </c>
      <c r="AF227" s="68">
        <f>IF($Z$3="yes", -0.000585596114902944/$X227, -0.000585596114902944)</f>
        <v>-6.0999595302390003E-4</v>
      </c>
      <c r="AG227" s="68">
        <f>IF($Z$3="yes", 0.00356011701170119/$X227, 0.00356011701170119)</f>
        <v>3.7084552205220731E-3</v>
      </c>
      <c r="AH227" s="68">
        <f>IF($Z$3="yes", 0.00786011524609841/$X227, 0.00786011524609841)</f>
        <v>8.1876200480191768E-3</v>
      </c>
      <c r="AI227" s="68">
        <f>IF($Z$3="yes", 0.00359770948379352/$X227, 0.00359770948379352)</f>
        <v>3.7476140456182503E-3</v>
      </c>
      <c r="AJ227" s="68">
        <f>IF($Z$3="yes", 0.0206526315789486/$X227, 0.0206526315789486)</f>
        <v>2.1513157894738125E-2</v>
      </c>
      <c r="AK227" s="68">
        <f>IF($Z$3="yes", 0.0230303296703294/$X227, 0.0230303296703294)</f>
        <v>2.3989926739926459E-2</v>
      </c>
      <c r="AL227" s="68">
        <f>IF($Z$3="yes", 0.0299178571428569/$X227, 0.0299178571428569)</f>
        <v>3.1164434523809272E-2</v>
      </c>
      <c r="AM227" s="68">
        <f>IF($Z$3="yes", 0.0766075000000011/$X227, 0.0766075000000011)</f>
        <v>7.9799479166667825E-2</v>
      </c>
      <c r="AN227" s="68">
        <f>IF($Z$3="yes", 0.000368500000000993/$X227, 0.000368500000000993)</f>
        <v>3.8385416666770106E-4</v>
      </c>
      <c r="AO227" s="68">
        <f>IF($Z$3="yes", 0.0692765000000009/$X227, 0.0692765000000009)</f>
        <v>7.2163020833334285E-2</v>
      </c>
      <c r="AP227" s="68">
        <f>IF($Z$3="yes", 0.122115499999998/$X227, 0.122115499999998)</f>
        <v>0.12720364583333127</v>
      </c>
      <c r="AQ227" s="68">
        <f>IF($Z$3="yes", 0.181588357142856/$X227, 0.181588357142856)</f>
        <v>0.18915453869047502</v>
      </c>
      <c r="AR227" s="68">
        <f>IF($Z$3="yes", 0.249132999999999/$X227, 0.249132999999999)</f>
        <v>0.25951354166666563</v>
      </c>
      <c r="AS227" s="68">
        <f>IF($Z$3="yes", 0.0762390000000001/$X227, 0.0762390000000001)</f>
        <v>7.9415625000000101E-2</v>
      </c>
      <c r="AT227" s="68">
        <f>IF($Z$3="yes", 0.00733100000000025/$X227, 0.00733100000000025)</f>
        <v>7.6364583333335938E-3</v>
      </c>
      <c r="AU227" s="88">
        <f>IF($Z$3="yes", 0.198722999999999/$X227, 0.198722999999999)</f>
        <v>0.20700312499999898</v>
      </c>
      <c r="AV227" s="88">
        <f>IF($Z$3="yes", 0.258195857142857/$X227, 0.258195857142857)</f>
        <v>0.26895401785714268</v>
      </c>
      <c r="AW227" s="88">
        <f>IF($Z$3="yes", 0.3257405/$X227, 0.3257405)</f>
        <v>0.33931302083333331</v>
      </c>
      <c r="AX227" s="88">
        <f>IF($Z$3="yes", 0.0689079999999999/$X227, 0.0689079999999999)</f>
        <v>7.1779166666666561E-2</v>
      </c>
      <c r="AY227" s="88">
        <f>IF($Z$3="yes", 0.191391999999999/$X227, 0.191391999999999)</f>
        <v>0.19936666666666564</v>
      </c>
      <c r="AZ227" s="88">
        <f>IF($Z$3="yes", 0.250864857142857/$X227, 0.250864857142857)</f>
        <v>0.26131755952380936</v>
      </c>
      <c r="BA227" s="88">
        <f>IF($Z$3="yes", 0.318409499999999/$X227, 0.318409499999999)</f>
        <v>0.33167656249999899</v>
      </c>
      <c r="BB227" s="88">
        <f>IF($Z$3="yes", 0.122483999999999/$X227, 0.122483999999999)</f>
        <v>0.12758749999999897</v>
      </c>
      <c r="BC227" s="88">
        <f>IF($Z$3="yes", 0.181956857142857/$X227, 0.181956857142857)</f>
        <v>0.18953839285714272</v>
      </c>
      <c r="BD227" s="88">
        <f>IF($Z$3="yes", 0.2495015/$X227, 0.2495015)</f>
        <v>0.25989739583333332</v>
      </c>
      <c r="BE227" s="88">
        <f>IF($Z$3="yes", 0.0594728571428574/$X227, 0.0594728571428574)</f>
        <v>6.1950892857143121E-2</v>
      </c>
      <c r="BF227" s="88">
        <f>IF($Z$3="yes", 0.1270175/$X227, 0.1270175)</f>
        <v>0.13230989583333336</v>
      </c>
      <c r="BG227" s="88">
        <f>IF($Z$3="yes", 0.0675446428571429/$X227, 0.0675446428571429)</f>
        <v>7.0359002976190521E-2</v>
      </c>
      <c r="BH227" s="88">
        <f>IF($Z$3="yes", 0.160653431972789/$X227, 0.160653431972789)</f>
        <v>0.16734732497165522</v>
      </c>
      <c r="BI227" s="68"/>
      <c r="BJ227" s="68"/>
      <c r="BK227" s="68">
        <f>IF($BL$3="yes", MAX(0, (1767796 - 2537835.2) / 1267476.55373618), 2537835.2)</f>
        <v>2537835.2000000002</v>
      </c>
      <c r="BL227" s="68">
        <f>IF($BL$3="yes", MAX(0, (1767796 - 1721533.7) / 1404529.18301102), 1721533.7)</f>
        <v>1721533.7</v>
      </c>
      <c r="BM227" s="68">
        <f>IF($BL$3="yes", MAX(0, (1767796 - 1139570.75) / 1187856.83010411), 1139570.75)</f>
        <v>1139570.75</v>
      </c>
      <c r="BN227" s="68">
        <f>IF($BL$3="yes", MAX(0, (1767796 - 657682.56) / 895464.722312881), 657682.56)</f>
        <v>657682.56000000006</v>
      </c>
      <c r="BO227" s="68">
        <f>IF($BL$3="yes", MAX(0, (1767796 - 631257.3) / 1693051.7021405), 631257.3)</f>
        <v>631257.30000000005</v>
      </c>
      <c r="BP227" s="68">
        <f>IF($BL$3="yes", MAX(0, (1767796 - 406544.705) / 1272544.96097508), 406544.705)</f>
        <v>406544.70500000002</v>
      </c>
      <c r="BQ227" s="68">
        <v>74.823842245651889</v>
      </c>
      <c r="BR227" s="68"/>
      <c r="BS227" s="68"/>
      <c r="BT227" s="68">
        <v>-16445916.353850139</v>
      </c>
      <c r="BU227" s="68">
        <v>486796.42750169709</v>
      </c>
      <c r="BV227" s="68">
        <f>IF($Z$3="yes", 0.0937767980957187/$X227, 0.0937767980957187)</f>
        <v>9.7684164683040323E-2</v>
      </c>
      <c r="BW227" s="68">
        <f>IF($Z$3="yes", 0.0604152223576943/$X227, 0.0604152223576943)</f>
        <v>6.2932523289264894E-2</v>
      </c>
      <c r="BX227" s="68">
        <f>$BW$136 - $BV$136</f>
        <v>7.3760094405170007E-2</v>
      </c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81"/>
      <c r="CR227" s="81"/>
      <c r="CS227" s="68"/>
      <c r="CT227" s="68"/>
      <c r="CU227" s="68"/>
    </row>
    <row r="228" spans="1:99" ht="15.75" customHeight="1" thickBot="1" x14ac:dyDescent="0.3">
      <c r="A228" s="84"/>
      <c r="B228" s="67" t="s">
        <v>128</v>
      </c>
      <c r="C228" s="83" t="s">
        <v>587</v>
      </c>
      <c r="D228" s="67" t="s">
        <v>596</v>
      </c>
      <c r="E228" s="67">
        <v>1</v>
      </c>
      <c r="F228" s="85">
        <v>2.14</v>
      </c>
      <c r="G228" s="313">
        <v>44218</v>
      </c>
      <c r="H228" s="317">
        <v>8.02</v>
      </c>
      <c r="I228" s="85">
        <v>9.4499999999999993</v>
      </c>
      <c r="J228" s="313">
        <v>44277</v>
      </c>
      <c r="K228" s="228">
        <f t="shared" si="8"/>
        <v>2.7476635514018688</v>
      </c>
      <c r="L228" s="149">
        <f t="shared" si="9"/>
        <v>3.4158878504672892</v>
      </c>
      <c r="M228" s="312">
        <v>44407</v>
      </c>
      <c r="N228" s="68"/>
      <c r="O228" s="291">
        <v>24105111</v>
      </c>
      <c r="P228" s="291">
        <v>15100000</v>
      </c>
      <c r="Q228" s="291">
        <v>57</v>
      </c>
      <c r="R228" s="68" t="s">
        <v>131</v>
      </c>
      <c r="S228" s="68" t="s">
        <v>135</v>
      </c>
      <c r="T228" s="68" t="s">
        <v>133</v>
      </c>
      <c r="U228" s="68">
        <v>0</v>
      </c>
      <c r="V228" s="68">
        <v>42511</v>
      </c>
      <c r="W228" s="68"/>
      <c r="X228" s="68">
        <v>2.14</v>
      </c>
      <c r="Y228" s="68">
        <v>1.735713500000003</v>
      </c>
      <c r="Z228" s="68">
        <v>2.016576999999999</v>
      </c>
      <c r="AA228" s="68">
        <v>2.056827999999999</v>
      </c>
      <c r="AB228" s="68">
        <v>2.0650279999999999</v>
      </c>
      <c r="AC228" s="68">
        <v>2.1122400000000008</v>
      </c>
      <c r="AD228" s="68">
        <v>2.12</v>
      </c>
      <c r="AE228" s="68">
        <v>2.1062499999999988</v>
      </c>
      <c r="AF228" s="68">
        <f>IF($Z$3="yes", 0.00516911955298859/$X228, 0.00516911955298859)</f>
        <v>2.4154764266301819E-3</v>
      </c>
      <c r="AG228" s="68">
        <f>IF($Z$3="yes", 0.00247697629762986/$X228, 0.00247697629762986)</f>
        <v>1.1574655596401215E-3</v>
      </c>
      <c r="AH228" s="68">
        <f>IF($Z$3="yes", 0.00406535414165709/$X228, 0.00406535414165709)</f>
        <v>1.8996981970360231E-3</v>
      </c>
      <c r="AI228" s="68">
        <f>IF($Z$3="yes", 0.000452292917167269/$X228, 0.000452292917167269)</f>
        <v>2.1135183045199485E-4</v>
      </c>
      <c r="AJ228" s="68">
        <f>IF($Z$3="yes", 0.00175819548871797/$X228, 0.00175819548871797)</f>
        <v>8.2158667697101388E-4</v>
      </c>
      <c r="AK228" s="68">
        <f>IF($Z$3="yes", -0.00175824175824172/$X228, -0.00175824175824172)</f>
        <v>-8.2160829824379439E-4</v>
      </c>
      <c r="AL228" s="68">
        <f>IF($Z$3="yes", 0.011309523809524/$X228, 0.011309523809524)</f>
        <v>5.2848242100579437E-3</v>
      </c>
      <c r="AM228" s="68">
        <f>IF($Z$3="yes", 0.280863499999995/$X228, 0.280863499999995)</f>
        <v>0.13124462616822194</v>
      </c>
      <c r="AN228" s="68">
        <f>IF($Z$3="yes", 0.321114499999996/$X228, 0.321114499999996)</f>
        <v>0.1500535046728953</v>
      </c>
      <c r="AO228" s="68">
        <f>IF($Z$3="yes", 0.329314499999996/$X228, 0.329314499999996)</f>
        <v>0.1538852803738299</v>
      </c>
      <c r="AP228" s="68">
        <f>IF($Z$3="yes", 0.376526499999998/$X228, 0.376526499999998)</f>
        <v>0.17594696261682147</v>
      </c>
      <c r="AQ228" s="68">
        <f>IF($Z$3="yes", 0.384286499999997/$X228, 0.384286499999997)</f>
        <v>0.17957313084112006</v>
      </c>
      <c r="AR228" s="68">
        <f>IF($Z$3="yes", 0.370536499999995/$X228, 0.370536499999995)</f>
        <v>0.17314789719625934</v>
      </c>
      <c r="AS228" s="68">
        <f>IF($Z$3="yes", 0.040251/$X228, 0.040251)</f>
        <v>1.8808878504672898E-2</v>
      </c>
      <c r="AT228" s="68">
        <f>IF($Z$3="yes", 0.0484510000000009/$X228, 0.0484510000000009)</f>
        <v>2.2640654205607898E-2</v>
      </c>
      <c r="AU228" s="88">
        <f>IF($Z$3="yes", 0.0956630000000022/$X228, 0.0956630000000022)</f>
        <v>4.470233644859916E-2</v>
      </c>
      <c r="AV228" s="88">
        <f>IF($Z$3="yes", 0.103423/$X228, 0.103423)</f>
        <v>4.8328504672897191E-2</v>
      </c>
      <c r="AW228" s="88">
        <f>IF($Z$3="yes", 0.0896730000000003/$X228, 0.0896730000000003)</f>
        <v>4.1903271028037516E-2</v>
      </c>
      <c r="AX228" s="88">
        <f>IF($Z$3="yes", 0.00820000000000087/$X228, 0.00820000000000087)</f>
        <v>3.8317757009349858E-3</v>
      </c>
      <c r="AY228" s="88">
        <f>IF($Z$3="yes", 0.0472120000000013/$X228, 0.0472120000000013)</f>
        <v>2.2061682242991262E-2</v>
      </c>
      <c r="AZ228" s="88">
        <f>IF($Z$3="yes", 0.0549719999999998/$X228, 0.0549719999999998)</f>
        <v>2.5687850467289625E-2</v>
      </c>
      <c r="BA228" s="88">
        <f>IF($Z$3="yes", 0.0412219999999994/$X228, 0.0412219999999994)</f>
        <v>1.9262616822429624E-2</v>
      </c>
      <c r="BB228" s="88">
        <f>IF($Z$3="yes", 0.0554120000000022/$X228, 0.0554120000000022)</f>
        <v>2.5893457943926262E-2</v>
      </c>
      <c r="BC228" s="88">
        <f>IF($Z$3="yes", 0.0631720000000006/$X228, 0.0631720000000006)</f>
        <v>2.951962616822458E-2</v>
      </c>
      <c r="BD228" s="88">
        <f>IF($Z$3="yes", 0.0494220000000003/$X228, 0.0494220000000003)</f>
        <v>2.3094392523364624E-2</v>
      </c>
      <c r="BE228" s="88">
        <f>IF($Z$3="yes", 0.00775999999999887/$X228, 0.00775999999999887)</f>
        <v>3.6261682242985371E-3</v>
      </c>
      <c r="BF228" s="88">
        <f>IF($Z$3="yes", 0.00599000000000238/$X228, 0.00599000000000238)</f>
        <v>2.7990654205618595E-3</v>
      </c>
      <c r="BG228" s="88">
        <f>IF($Z$3="yes", 0.0137500000000003/$X228, 0.0137500000000003)</f>
        <v>6.4252336448599526E-3</v>
      </c>
      <c r="BH228" s="88">
        <f>IF($Z$3="yes", 0.225656476190476/$X228, 0.225656476190476)</f>
        <v>0.10544695149087663</v>
      </c>
      <c r="BI228" s="68"/>
      <c r="BJ228" s="68"/>
      <c r="BK228" s="68">
        <f>IF($BL$3="yes", MAX(0, (42511 - 165013) / 106922.585470049), 165013)</f>
        <v>165013</v>
      </c>
      <c r="BL228" s="68">
        <f>IF($BL$3="yes", MAX(0, (42511 - 153639) / 86853.043174088), 153639)</f>
        <v>153639</v>
      </c>
      <c r="BM228" s="68">
        <f>IF($BL$3="yes", MAX(0, (42511 - 169403.85) / 128349.84313324), 169403.85)</f>
        <v>169403.85</v>
      </c>
      <c r="BN228" s="68">
        <f>IF($BL$3="yes", MAX(0, (42511 - 117467.56) / 96816.4305324586), 117467.56)</f>
        <v>117467.56</v>
      </c>
      <c r="BO228" s="68">
        <f>IF($BL$3="yes", MAX(0, (42511 - 144298.18) / 135370.627988081), 144298.18)</f>
        <v>144298.18</v>
      </c>
      <c r="BP228" s="68">
        <f>IF($BL$3="yes", MAX(0, (42511 - 131715.89) / 127137.844952547), 131715.89)</f>
        <v>131715.89000000001</v>
      </c>
      <c r="BQ228" s="68">
        <v>53.599820136381297</v>
      </c>
      <c r="BR228" s="68"/>
      <c r="BS228" s="68"/>
      <c r="BT228" s="68">
        <v>-112914.8927950115</v>
      </c>
      <c r="BU228" s="68">
        <v>67525.159360232807</v>
      </c>
      <c r="BV228" s="68">
        <f>IF($Z$3="yes", 0.109469975467194/$X228, 0.109469975467194)</f>
        <v>5.1154194143548597E-2</v>
      </c>
      <c r="BW228" s="68">
        <f>IF($Z$3="yes", 0.115671646054349/$X228, 0.115671646054349)</f>
        <v>5.4052171053434107E-2</v>
      </c>
      <c r="BX228" s="68">
        <f>$BW$137 - $BV$137</f>
        <v>0.13217367976179309</v>
      </c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81"/>
      <c r="CR228" s="81"/>
      <c r="CS228" s="68"/>
      <c r="CT228" s="68"/>
      <c r="CU228" s="68"/>
    </row>
    <row r="229" spans="1:99" ht="15.75" customHeight="1" thickBot="1" x14ac:dyDescent="0.3">
      <c r="A229" s="84"/>
      <c r="B229" s="67" t="s">
        <v>128</v>
      </c>
      <c r="C229" s="83" t="s">
        <v>587</v>
      </c>
      <c r="D229" s="67" t="s">
        <v>597</v>
      </c>
      <c r="E229" s="67">
        <v>1</v>
      </c>
      <c r="F229" s="85">
        <v>2.04</v>
      </c>
      <c r="G229" s="313">
        <v>44218</v>
      </c>
      <c r="H229" s="317">
        <v>1.72</v>
      </c>
      <c r="I229" s="85">
        <v>4.46</v>
      </c>
      <c r="J229" s="313">
        <v>44235</v>
      </c>
      <c r="K229" s="87">
        <f t="shared" si="8"/>
        <v>-0.15686274509803921</v>
      </c>
      <c r="L229" s="224">
        <f t="shared" si="9"/>
        <v>1.1862745098039214</v>
      </c>
      <c r="M229" s="312">
        <v>44407</v>
      </c>
      <c r="N229" s="68"/>
      <c r="O229" s="291">
        <v>25359059</v>
      </c>
      <c r="P229" s="291">
        <v>15290000</v>
      </c>
      <c r="Q229" s="291">
        <v>15</v>
      </c>
      <c r="R229" s="68" t="s">
        <v>131</v>
      </c>
      <c r="S229" s="68" t="s">
        <v>148</v>
      </c>
      <c r="T229" s="68" t="s">
        <v>154</v>
      </c>
      <c r="U229" s="68">
        <v>280</v>
      </c>
      <c r="V229" s="68">
        <v>720101</v>
      </c>
      <c r="W229" s="68"/>
      <c r="X229" s="68">
        <v>2.04</v>
      </c>
      <c r="Y229" s="68">
        <v>2.1517264999999992</v>
      </c>
      <c r="Z229" s="68">
        <v>2.008286</v>
      </c>
      <c r="AA229" s="68">
        <v>2.1213739999999999</v>
      </c>
      <c r="AB229" s="68">
        <v>2.1046060000000009</v>
      </c>
      <c r="AC229" s="68">
        <v>1.851500000000001</v>
      </c>
      <c r="AD229" s="68">
        <v>1.8785714285714279</v>
      </c>
      <c r="AE229" s="68">
        <v>1.94625</v>
      </c>
      <c r="AF229" s="68">
        <f>IF($Z$3="yes", -0.00294432708317695/$X229, -0.00294432708317695)</f>
        <v>-1.4432975897926226E-3</v>
      </c>
      <c r="AG229" s="68">
        <f>IF($Z$3="yes", 0.00163707890789074/$X229, 0.00163707890789074)</f>
        <v>8.0248966073075481E-4</v>
      </c>
      <c r="AH229" s="68">
        <f>IF($Z$3="yes", -0.00943478031212493/$X229, -0.00943478031212493)</f>
        <v>-4.6248923098651615E-3</v>
      </c>
      <c r="AI229" s="68">
        <f>IF($Z$3="yes", 0.00179620168067208/$X229, 0.00179620168067208)</f>
        <v>8.8049101993729407E-4</v>
      </c>
      <c r="AJ229" s="68">
        <f>IF($Z$3="yes", 0.0133458646616526/$X229, 0.0133458646616526)</f>
        <v>6.5420905204179409E-3</v>
      </c>
      <c r="AK229" s="68">
        <f>IF($Z$3="yes", 0.0231208791208792/$X229, 0.0231208791208792)</f>
        <v>1.1333764274940783E-2</v>
      </c>
      <c r="AL229" s="68">
        <f>IF($Z$3="yes", 0.0272619047619039/$X229, 0.0272619047619039)</f>
        <v>1.3363678804854853E-2</v>
      </c>
      <c r="AM229" s="68">
        <f>IF($Z$3="yes", 0.143440499999998/$X229, 0.143440499999998)</f>
        <v>7.0313970588234312E-2</v>
      </c>
      <c r="AN229" s="68">
        <f>IF($Z$3="yes", 0.0303524999999988/$X229, 0.0303524999999988)</f>
        <v>1.4878676470587647E-2</v>
      </c>
      <c r="AO229" s="68">
        <f>IF($Z$3="yes", 0.0471204999999979/$X229, 0.0471204999999979)</f>
        <v>2.309828431372446E-2</v>
      </c>
      <c r="AP229" s="68">
        <f>IF($Z$3="yes", 0.300226499999997/$X229, 0.300226499999997)</f>
        <v>0.14716985294117499</v>
      </c>
      <c r="AQ229" s="68">
        <f>IF($Z$3="yes", 0.27315507142857/$X229, 0.27315507142857)</f>
        <v>0.13389954481792646</v>
      </c>
      <c r="AR229" s="68">
        <f>IF($Z$3="yes", 0.205476499999998/$X229, 0.205476499999998)</f>
        <v>0.10072377450980294</v>
      </c>
      <c r="AS229" s="68">
        <f>IF($Z$3="yes", 0.113088/$X229, 0.113088)</f>
        <v>5.5435294117647055E-2</v>
      </c>
      <c r="AT229" s="68">
        <f>IF($Z$3="yes", 0.0963200000000013/$X229, 0.0963200000000013)</f>
        <v>4.7215686274510435E-2</v>
      </c>
      <c r="AU229" s="88">
        <f>IF($Z$3="yes", 0.156785999999998/$X229, 0.156785999999998)</f>
        <v>7.6855882352940205E-2</v>
      </c>
      <c r="AV229" s="88">
        <f>IF($Z$3="yes", 0.129714571428571/$X229, 0.129714571428571)</f>
        <v>6.3585574229691674E-2</v>
      </c>
      <c r="AW229" s="88">
        <f>IF($Z$3="yes", 0.0620359999999993/$X229, 0.0620359999999993)</f>
        <v>3.0409803921568283E-2</v>
      </c>
      <c r="AX229" s="88">
        <f>IF($Z$3="yes", 0.0167679999999994/$X229, 0.0167679999999994)</f>
        <v>8.2196078431369616E-3</v>
      </c>
      <c r="AY229" s="88">
        <f>IF($Z$3="yes", 0.253105999999999/$X229, 0.253105999999999)</f>
        <v>0.12407156862745049</v>
      </c>
      <c r="AZ229" s="88">
        <f>IF($Z$3="yes", 0.226034571428572/$X229, 0.226034571428572)</f>
        <v>0.11080126050420196</v>
      </c>
      <c r="BA229" s="88">
        <f>IF($Z$3="yes", 0.158356/$X229, 0.158356)</f>
        <v>7.7625490196078423E-2</v>
      </c>
      <c r="BB229" s="88">
        <f>IF($Z$3="yes", 0.269873999999998/$X229, 0.269873999999998)</f>
        <v>0.13229117647058725</v>
      </c>
      <c r="BC229" s="88">
        <f>IF($Z$3="yes", 0.242802571428571/$X229, 0.242802571428571)</f>
        <v>0.11902086834733873</v>
      </c>
      <c r="BD229" s="88">
        <f>IF($Z$3="yes", 0.175124/$X229, 0.175124)</f>
        <v>8.5845098039215681E-2</v>
      </c>
      <c r="BE229" s="88">
        <f>IF($Z$3="yes", 0.0270714285714264/$X229, 0.0270714285714264)</f>
        <v>1.3270308123248236E-2</v>
      </c>
      <c r="BF229" s="88">
        <f>IF($Z$3="yes", 0.0947499999999985/$X229, 0.0947499999999985)</f>
        <v>4.6446078431371815E-2</v>
      </c>
      <c r="BG229" s="88">
        <f>IF($Z$3="yes", 0.0676785714285719/$X229, 0.0676785714285719)</f>
        <v>3.3175770308123478E-2</v>
      </c>
      <c r="BH229" s="88">
        <f>IF($Z$3="yes", 0.243463986394558/$X229, 0.243463986394558)</f>
        <v>0.11934509136988136</v>
      </c>
      <c r="BI229" s="68"/>
      <c r="BJ229" s="68"/>
      <c r="BK229" s="68">
        <f>IF($BL$3="yes", MAX(0, (720101 - 1723595.2) / 842928.800229865), 1723595.2)</f>
        <v>1723595.2</v>
      </c>
      <c r="BL229" s="68">
        <f>IF($BL$3="yes", MAX(0, (720101 - 1436634.6) / 781674.81129856), 1436634.6)</f>
        <v>1436634.6</v>
      </c>
      <c r="BM229" s="68">
        <f>IF($BL$3="yes", MAX(0, (720101 - 1451971.55) / 879927.485038822), 1451971.55)</f>
        <v>1451971.55</v>
      </c>
      <c r="BN229" s="68">
        <f>IF($BL$3="yes", MAX(0, (720101 - 1715627.06) / 5727654.65531667), 1715627.06)</f>
        <v>1715627.06</v>
      </c>
      <c r="BO229" s="68">
        <f>IF($BL$3="yes", MAX(0, (720101 - 881237.32) / 4135270.82616171), 881237.32)</f>
        <v>881237.32</v>
      </c>
      <c r="BP229" s="68">
        <f>IF($BL$3="yes", MAX(0, (720101 - 520186.395) / 2961464.00341063), 520186.395)</f>
        <v>520186.39500000002</v>
      </c>
      <c r="BQ229" s="68">
        <v>52.984776648658723</v>
      </c>
      <c r="BR229" s="68"/>
      <c r="BS229" s="68"/>
      <c r="BT229" s="68">
        <v>-31281498.278299399</v>
      </c>
      <c r="BU229" s="68">
        <v>675466.41195811331</v>
      </c>
      <c r="BV229" s="68">
        <f>IF($Z$3="yes", 0.179104889514841/$X229, 0.179104889514841)</f>
        <v>8.7796514468059306E-2</v>
      </c>
      <c r="BW229" s="68">
        <f>IF($Z$3="yes", 0.21667042323487/$X229, 0.21667042323487)</f>
        <v>0.10621099178179902</v>
      </c>
      <c r="BX229" s="68">
        <f>$BW$131 - $BV$131</f>
        <v>6.9034026174288443E-2</v>
      </c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81"/>
      <c r="CR229" s="81"/>
      <c r="CS229" s="68"/>
      <c r="CT229" s="68"/>
      <c r="CU229" s="68"/>
    </row>
    <row r="230" spans="1:99" ht="15.75" customHeight="1" thickBot="1" x14ac:dyDescent="0.3">
      <c r="A230" s="84"/>
      <c r="B230" s="67" t="s">
        <v>128</v>
      </c>
      <c r="C230" s="83" t="s">
        <v>587</v>
      </c>
      <c r="D230" s="67" t="s">
        <v>492</v>
      </c>
      <c r="E230" s="67">
        <v>1</v>
      </c>
      <c r="F230" s="85">
        <v>1.74</v>
      </c>
      <c r="G230" s="313">
        <v>44218</v>
      </c>
      <c r="H230" s="317">
        <v>1.37</v>
      </c>
      <c r="I230" s="85">
        <v>4.03</v>
      </c>
      <c r="J230" s="313">
        <v>44237</v>
      </c>
      <c r="K230" s="222">
        <f t="shared" si="8"/>
        <v>-0.21264367816091945</v>
      </c>
      <c r="L230" s="223">
        <f t="shared" si="9"/>
        <v>1.3160919540229887</v>
      </c>
      <c r="M230" s="312">
        <v>44407</v>
      </c>
      <c r="N230" s="68"/>
      <c r="O230" s="291">
        <v>28348684</v>
      </c>
      <c r="P230" s="291">
        <v>22340000</v>
      </c>
      <c r="Q230" s="291">
        <v>17</v>
      </c>
      <c r="R230" s="68" t="s">
        <v>131</v>
      </c>
      <c r="S230" s="68" t="s">
        <v>493</v>
      </c>
      <c r="T230" s="67" t="s">
        <v>494</v>
      </c>
      <c r="U230" s="68">
        <v>276</v>
      </c>
      <c r="V230" s="68">
        <v>2064893</v>
      </c>
      <c r="W230" s="68"/>
      <c r="X230" s="68">
        <v>1.74</v>
      </c>
      <c r="Y230" s="68">
        <v>1.4019925000000011</v>
      </c>
      <c r="Z230" s="68">
        <v>1.2879680000000009</v>
      </c>
      <c r="AA230" s="68">
        <v>1.308000000000002</v>
      </c>
      <c r="AB230" s="68">
        <v>1.249736000000002</v>
      </c>
      <c r="AC230" s="68">
        <v>1.33325</v>
      </c>
      <c r="AD230" s="68">
        <v>1.4032142857142851</v>
      </c>
      <c r="AE230" s="68">
        <v>1.525625</v>
      </c>
      <c r="AF230" s="68">
        <f>IF($Z$3="yes", -0.000836729693242372/$X230, -0.000836729693242372)</f>
        <v>-4.8087913404734021E-4</v>
      </c>
      <c r="AG230" s="68">
        <f>IF($Z$3="yes", 0.000607618361836013/$X230, 0.000607618361836013)</f>
        <v>3.4920595507816835E-4</v>
      </c>
      <c r="AH230" s="68">
        <f>IF($Z$3="yes", 0.00225402160864309/$X230, 0.00225402160864309)</f>
        <v>1.2954147176109712E-3</v>
      </c>
      <c r="AI230" s="68">
        <f>IF($Z$3="yes", -0.000692168067227171/$X230, -0.000692168067227171)</f>
        <v>-3.9779773978573048E-4</v>
      </c>
      <c r="AJ230" s="68">
        <f>IF($Z$3="yes", 0.0277255639097745/$X230, 0.0277255639097745)</f>
        <v>1.5934232132054311E-2</v>
      </c>
      <c r="AK230" s="68">
        <f>IF($Z$3="yes", 0.0395714285714286/$X230, 0.0395714285714286)</f>
        <v>2.274220032840724E-2</v>
      </c>
      <c r="AL230" s="68">
        <f>IF($Z$3="yes", 0.0380357142857143/$X230, 0.0380357142857143)</f>
        <v>2.1859605911330057E-2</v>
      </c>
      <c r="AM230" s="68">
        <f>IF($Z$3="yes", 0.114024499999999/$X230, 0.114024499999999)</f>
        <v>6.5531321839079892E-2</v>
      </c>
      <c r="AN230" s="68">
        <f>IF($Z$3="yes", 0.0939924999999988/$X230, 0.0939924999999988)</f>
        <v>5.4018678160918848E-2</v>
      </c>
      <c r="AO230" s="68">
        <f>IF($Z$3="yes", 0.152256499999998/$X230, 0.152256499999998)</f>
        <v>8.750373563218275E-2</v>
      </c>
      <c r="AP230" s="68">
        <f>IF($Z$3="yes", 0.0687425000000006/$X230, 0.0687425000000006)</f>
        <v>3.950718390804632E-2</v>
      </c>
      <c r="AQ230" s="68">
        <f>IF($Z$3="yes", 0.00122178571428421/$X230, 0.00122178571428421)</f>
        <v>7.0217569786448861E-4</v>
      </c>
      <c r="AR230" s="68">
        <f>IF($Z$3="yes", 0.123632499999999/$X230, 0.123632499999999)</f>
        <v>7.1053160919539657E-2</v>
      </c>
      <c r="AS230" s="68">
        <f>IF($Z$3="yes", 0.0200320000000004/$X230, 0.0200320000000004)</f>
        <v>1.151264367816115E-2</v>
      </c>
      <c r="AT230" s="68">
        <f>IF($Z$3="yes", 0.0382319999999998/$X230, 0.0382319999999998)</f>
        <v>2.1972413793103333E-2</v>
      </c>
      <c r="AU230" s="88">
        <f>IF($Z$3="yes", 0.0452819999999993/$X230, 0.0452819999999993)</f>
        <v>2.6024137931034082E-2</v>
      </c>
      <c r="AV230" s="88">
        <f>IF($Z$3="yes", 0.115246285714283/$X230, 0.115246285714283)</f>
        <v>6.6233497536944255E-2</v>
      </c>
      <c r="AW230" s="88">
        <f>IF($Z$3="yes", 0.237656999999998/$X230, 0.237656999999998)</f>
        <v>0.13658448275861954</v>
      </c>
      <c r="AX230" s="88">
        <f>IF($Z$3="yes", 0.0582640000000003/$X230, 0.0582640000000003)</f>
        <v>3.348505747126454E-2</v>
      </c>
      <c r="AY230" s="88">
        <f>IF($Z$3="yes", 0.0835139999999983/$X230, 0.0835139999999983)</f>
        <v>4.799655172413695E-2</v>
      </c>
      <c r="AZ230" s="88">
        <f>IF($Z$3="yes", 0.153478285714283/$X230, 0.153478285714283)</f>
        <v>8.8205911330047709E-2</v>
      </c>
      <c r="BA230" s="88">
        <f>IF($Z$3="yes", 0.275888999999998/$X230, 0.275888999999998)</f>
        <v>0.15855689655172298</v>
      </c>
      <c r="BB230" s="88">
        <f>IF($Z$3="yes", 0.0252499999999982/$X230, 0.0252499999999982)</f>
        <v>1.451149425287253E-2</v>
      </c>
      <c r="BC230" s="88">
        <f>IF($Z$3="yes", 0.0952142857142834/$X230, 0.0952142857142834)</f>
        <v>5.4720853858783565E-2</v>
      </c>
      <c r="BD230" s="88">
        <f>IF($Z$3="yes", 0.217624999999997/$X230, 0.217624999999997)</f>
        <v>0.12507183908045805</v>
      </c>
      <c r="BE230" s="88">
        <f>IF($Z$3="yes", 0.0699642857142848/$X230, 0.0699642857142848)</f>
        <v>4.0209359605910808E-2</v>
      </c>
      <c r="BF230" s="88">
        <f>IF($Z$3="yes", 0.192374999999999/$X230, 0.192374999999999)</f>
        <v>0.11056034482758563</v>
      </c>
      <c r="BG230" s="88">
        <f>IF($Z$3="yes", 0.122410714285714/$X230, 0.122410714285714)</f>
        <v>7.0350985221674711E-2</v>
      </c>
      <c r="BH230" s="88">
        <f>IF($Z$3="yes", 0.202994659863945/$X230, 0.202994659863945)</f>
        <v>0.11666359762295689</v>
      </c>
      <c r="BI230" s="68"/>
      <c r="BJ230" s="68"/>
      <c r="BK230" s="68">
        <f>IF($BL$3="yes", MAX(0, (2064893 - 1437016.8) / 1223221.71871127), 1437016.8)</f>
        <v>1437016.8</v>
      </c>
      <c r="BL230" s="68">
        <f>IF($BL$3="yes", MAX(0, (2064893 - 1759890.1) / 2054769.96624325), 1759890.1)</f>
        <v>1759890.1</v>
      </c>
      <c r="BM230" s="68">
        <f>IF($BL$3="yes", MAX(0, (2064893 - 1053907.35) / 1619812.20578937), 1053907.35)</f>
        <v>1053907.3500000001</v>
      </c>
      <c r="BN230" s="68">
        <f>IF($BL$3="yes", MAX(0, (2064893 - 608250.02) / 1101545.94277685), 608250.02)</f>
        <v>608250.02</v>
      </c>
      <c r="BO230" s="68">
        <f>IF($BL$3="yes", MAX(0, (2064893 - 497646.72) / 1042894.78553928), 497646.72)</f>
        <v>497646.72</v>
      </c>
      <c r="BP230" s="68">
        <f>IF($BL$3="yes", MAX(0, (2064893 - 1002913.51) / 7637030.08975649), 1002913.51)</f>
        <v>1002913.51</v>
      </c>
      <c r="BQ230" s="68">
        <v>70.427725814025308</v>
      </c>
      <c r="BR230" s="68"/>
      <c r="BS230" s="68"/>
      <c r="BT230" s="68">
        <v>-2827251.4082634281</v>
      </c>
      <c r="BU230" s="68">
        <v>1713229.904770989</v>
      </c>
      <c r="BV230" s="68">
        <f>IF($Z$3="yes", 0.133346926152211/$X230, 0.133346926152211)</f>
        <v>7.6636164455293684E-2</v>
      </c>
      <c r="BW230" s="68">
        <f>IF($Z$3="yes", 0.0970091433504917/$X230, 0.0970091433504917)</f>
        <v>5.5752381235914771E-2</v>
      </c>
      <c r="BX230" s="68">
        <f>$BW$130 - $BV$130</f>
        <v>0.38273096843224036</v>
      </c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81"/>
      <c r="CR230" s="81"/>
      <c r="CS230" s="68"/>
      <c r="CT230" s="68"/>
      <c r="CU230" s="68"/>
    </row>
    <row r="231" spans="1:99" ht="15.75" customHeight="1" thickBot="1" x14ac:dyDescent="0.3">
      <c r="A231" s="84"/>
      <c r="B231" s="67" t="s">
        <v>128</v>
      </c>
      <c r="C231" s="83" t="s">
        <v>587</v>
      </c>
      <c r="D231" s="67" t="s">
        <v>598</v>
      </c>
      <c r="E231" s="67">
        <v>1</v>
      </c>
      <c r="F231" s="85">
        <v>5.16</v>
      </c>
      <c r="G231" s="313">
        <v>44218</v>
      </c>
      <c r="H231" s="317">
        <v>6.92</v>
      </c>
      <c r="I231" s="85">
        <v>9.8000000000000007</v>
      </c>
      <c r="J231" s="313">
        <v>44361</v>
      </c>
      <c r="K231" s="231">
        <f t="shared" si="8"/>
        <v>0.3410852713178294</v>
      </c>
      <c r="L231" s="232">
        <f t="shared" si="9"/>
        <v>0.89922480620155043</v>
      </c>
      <c r="M231" s="312">
        <v>44407</v>
      </c>
      <c r="N231" s="68"/>
      <c r="O231" s="291">
        <v>37948413</v>
      </c>
      <c r="P231" s="291">
        <v>23720000</v>
      </c>
      <c r="Q231" s="291">
        <v>141</v>
      </c>
      <c r="R231" s="68" t="s">
        <v>131</v>
      </c>
      <c r="S231" s="68" t="s">
        <v>148</v>
      </c>
      <c r="T231" s="67" t="s">
        <v>599</v>
      </c>
      <c r="U231" s="68">
        <v>232</v>
      </c>
      <c r="V231" s="68">
        <v>517100</v>
      </c>
      <c r="W231" s="68"/>
      <c r="X231" s="68">
        <v>5.16</v>
      </c>
      <c r="Y231" s="68" t="e">
        <v>#N/A</v>
      </c>
      <c r="Z231" s="68" t="e">
        <v>#N/A</v>
      </c>
      <c r="AA231" s="68">
        <v>5.5482999999999993</v>
      </c>
      <c r="AB231" s="68">
        <v>5.7398999999999978</v>
      </c>
      <c r="AC231" s="68">
        <v>5.1867500000000009</v>
      </c>
      <c r="AD231" s="68">
        <v>5.1675000000000004</v>
      </c>
      <c r="AE231" s="68">
        <v>5.24125</v>
      </c>
      <c r="AF231" s="68" t="e">
        <f>IF($Z$3="yes", #N/A/$X231, #N/A)</f>
        <v>#N/A</v>
      </c>
      <c r="AG231" s="68" t="e">
        <f>IF($Z$3="yes", #N/A/$X231, #N/A)</f>
        <v>#N/A</v>
      </c>
      <c r="AH231" s="68">
        <f>IF($Z$3="yes", -0.0213971188475387/$X231, -0.0213971188475387)</f>
        <v>-4.146728458825329E-3</v>
      </c>
      <c r="AI231" s="68">
        <f>IF($Z$3="yes", -0.023509963985594/$X231, -0.023509963985594)</f>
        <v>-4.5561945708515504E-3</v>
      </c>
      <c r="AJ231" s="68">
        <f>IF($Z$3="yes", -0.00401879699248371/$X231, -0.00401879699248371)</f>
        <v>-7.7883662645033126E-4</v>
      </c>
      <c r="AK231" s="68">
        <f>IF($Z$3="yes", 0.0168241758241758/$X231, 0.0168241758241758)</f>
        <v>3.2604991907317442E-3</v>
      </c>
      <c r="AL231" s="68">
        <f>IF($Z$3="yes", -0.0101190476190485/$X231, -0.0101190476190485)</f>
        <v>-1.9610557401256784E-3</v>
      </c>
      <c r="AM231" s="68"/>
      <c r="AN231" s="68"/>
      <c r="AO231" s="68"/>
      <c r="AP231" s="68"/>
      <c r="AQ231" s="68"/>
      <c r="AR231" s="68"/>
      <c r="AS231" s="68"/>
      <c r="AT231" s="68"/>
      <c r="AU231" s="88"/>
      <c r="AV231" s="88"/>
      <c r="AW231" s="88"/>
      <c r="AX231" s="88">
        <f>IF($Z$3="yes", 0.191599999999998/$X231, 0.191599999999998)</f>
        <v>3.7131782945736047E-2</v>
      </c>
      <c r="AY231" s="88">
        <f>IF($Z$3="yes", 0.553149999999996/$X231, 0.553149999999996)</f>
        <v>0.1071996124031</v>
      </c>
      <c r="AZ231" s="88">
        <f>IF($Z$3="yes", 0.572399999999998/$X231, 0.572399999999998)</f>
        <v>0.11093023255813915</v>
      </c>
      <c r="BA231" s="88">
        <f>IF($Z$3="yes", 0.498649999999997/$X231, 0.498649999999997)</f>
        <v>9.6637596899224215E-2</v>
      </c>
      <c r="BB231" s="88">
        <f>IF($Z$3="yes", 0.361549999999998/$X231, 0.361549999999998)</f>
        <v>7.006782945736395E-2</v>
      </c>
      <c r="BC231" s="88">
        <f>IF($Z$3="yes", 0.380799999999999/$X231, 0.380799999999999)</f>
        <v>7.3798449612402894E-2</v>
      </c>
      <c r="BD231" s="88">
        <f>IF($Z$3="yes", 0.307049999999999/$X231, 0.307049999999999)</f>
        <v>5.9505813953488175E-2</v>
      </c>
      <c r="BE231" s="88">
        <f>IF($Z$3="yes", 0.0192500000000004/$X231, 0.0192500000000004)</f>
        <v>3.7306201550388368E-3</v>
      </c>
      <c r="BF231" s="88">
        <f>IF($Z$3="yes", 0.0544999999999991/$X231, 0.0544999999999991)</f>
        <v>1.0562015503875795E-2</v>
      </c>
      <c r="BG231" s="88">
        <f>IF($Z$3="yes", 0.0737500000000004/$X231, 0.0737500000000004)</f>
        <v>1.4292635658914806E-2</v>
      </c>
      <c r="BH231" s="88">
        <f>IF($Z$3="yes", 0.592047619047618/$X231, 0.592047619047618)</f>
        <v>0.11473791066814303</v>
      </c>
      <c r="BI231" s="68"/>
      <c r="BJ231" s="68"/>
      <c r="BK231" s="68">
        <f>IF($BL$3="yes", MAX(0, (517100 - 835108.2) / 359105.164934396), 835108.2)</f>
        <v>835108.2</v>
      </c>
      <c r="BL231" s="68">
        <f>IF($BL$3="yes", MAX(0, (517100 - 1321963.2) / 829746.544986455), 1321963.2)</f>
        <v>1321963.2</v>
      </c>
      <c r="BM231" s="68">
        <f>IF($BL$3="yes", MAX(0, (517100 - 1217812.1) / 1049185.12415683), 1217812.1)</f>
        <v>1217812.1000000001</v>
      </c>
      <c r="BN231" s="68">
        <f>IF($BL$3="yes", MAX(0, (517100 - 729672.98) / 784217.283293743), 729672.98)</f>
        <v>729672.98</v>
      </c>
      <c r="BO231" s="68">
        <f>IF($BL$3="yes", MAX(0, (517100 - 550749.684782608) / 642178.811504054), 550749.684782608)</f>
        <v>550749.68478260795</v>
      </c>
      <c r="BP231" s="68">
        <f>IF($BL$3="yes", MAX(0, (517100 - 550749.684782608) / 642178.811504054), 550749.684782608)</f>
        <v>550749.68478260795</v>
      </c>
      <c r="BQ231" s="68">
        <v>44.563749744206127</v>
      </c>
      <c r="BR231" s="68"/>
      <c r="BS231" s="68"/>
      <c r="BT231" s="68">
        <v>-4112605.4395907619</v>
      </c>
      <c r="BU231" s="68">
        <v>-226962.2068421263</v>
      </c>
      <c r="BV231" s="68">
        <f>IF($Z$3="yes", 0.498287935734796/$X231, 0.498287935734796)</f>
        <v>9.6567429405968214E-2</v>
      </c>
      <c r="BW231" s="68">
        <f>IF($Z$3="yes", 0.554374902015075/$X231, 0.554374902015075)</f>
        <v>0.10743699651454941</v>
      </c>
      <c r="BX231" s="68">
        <f>$BW$140 - $BV$140</f>
        <v>4.2897117777395355E-2</v>
      </c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81"/>
      <c r="CR231" s="81"/>
      <c r="CS231" s="68"/>
      <c r="CT231" s="68"/>
      <c r="CU231" s="68"/>
    </row>
    <row r="232" spans="1:99" ht="15.75" customHeight="1" thickBot="1" x14ac:dyDescent="0.3">
      <c r="A232" s="84" t="s">
        <v>194</v>
      </c>
      <c r="B232" s="67" t="s">
        <v>128</v>
      </c>
      <c r="C232" s="83" t="s">
        <v>587</v>
      </c>
      <c r="D232" s="67" t="s">
        <v>306</v>
      </c>
      <c r="E232" s="67">
        <v>1</v>
      </c>
      <c r="F232" s="85">
        <v>1.1399999999999999</v>
      </c>
      <c r="G232" s="313">
        <v>44218</v>
      </c>
      <c r="H232" s="317">
        <v>0.98</v>
      </c>
      <c r="I232" s="85">
        <v>3.15</v>
      </c>
      <c r="J232" s="313">
        <v>44243</v>
      </c>
      <c r="K232" s="91">
        <f t="shared" si="8"/>
        <v>-0.14035087719298245</v>
      </c>
      <c r="L232" s="149">
        <f t="shared" si="9"/>
        <v>1.7631578947368425</v>
      </c>
      <c r="M232" s="312">
        <v>44407</v>
      </c>
      <c r="N232" s="68"/>
      <c r="O232" s="291">
        <v>36843045</v>
      </c>
      <c r="P232" s="291">
        <v>32230000</v>
      </c>
      <c r="Q232" s="291">
        <v>23</v>
      </c>
      <c r="R232" s="68" t="s">
        <v>131</v>
      </c>
      <c r="S232" s="68" t="s">
        <v>148</v>
      </c>
      <c r="T232" s="68" t="s">
        <v>154</v>
      </c>
      <c r="U232" s="68">
        <v>640</v>
      </c>
      <c r="V232" s="68">
        <v>3746907</v>
      </c>
      <c r="W232" s="68"/>
      <c r="X232" s="68">
        <v>1.1399999999999999</v>
      </c>
      <c r="Y232" s="68">
        <v>1.3518755</v>
      </c>
      <c r="Z232" s="68">
        <v>1.003301</v>
      </c>
      <c r="AA232" s="68">
        <v>0.97346999999999906</v>
      </c>
      <c r="AB232" s="68">
        <v>0.9578619999999991</v>
      </c>
      <c r="AC232" s="68">
        <v>0.91641999999999824</v>
      </c>
      <c r="AD232" s="68">
        <v>0.9854285714285711</v>
      </c>
      <c r="AE232" s="68">
        <v>1.0862499999999999</v>
      </c>
      <c r="AF232" s="68">
        <f>IF($Z$3="yes", -0.00361770516762923/$X232, -0.00361770516762923)</f>
        <v>-3.1734255856396758E-3</v>
      </c>
      <c r="AG232" s="68">
        <f>IF($Z$3="yes", -0.00128624122412248/$X232, -0.00128624122412248)</f>
        <v>-1.1282817755460352E-3</v>
      </c>
      <c r="AH232" s="68">
        <f>IF($Z$3="yes", -0.00176315486194457/$X232, -0.00176315486194457)</f>
        <v>-1.546627071881202E-3</v>
      </c>
      <c r="AI232" s="68">
        <f>IF($Z$3="yes", -0.00415760384153641/$X232, -0.00415760384153641)</f>
        <v>-3.6470209136284302E-3</v>
      </c>
      <c r="AJ232" s="68">
        <f>IF($Z$3="yes", 0.02390511278196/$X232, 0.02390511278196)</f>
        <v>2.0969397177157897E-2</v>
      </c>
      <c r="AK232" s="68">
        <f>IF($Z$3="yes", 0.0272707692307694/$X232, 0.0272707692307694)</f>
        <v>2.3921727395411756E-2</v>
      </c>
      <c r="AL232" s="68">
        <f>IF($Z$3="yes", 0.00511904761904753/$X232, 0.00511904761904753)</f>
        <v>4.4903926482873077E-3</v>
      </c>
      <c r="AM232" s="68">
        <f>IF($Z$3="yes", 0.3485745/$X232, 0.3485745)</f>
        <v>0.30576710526315792</v>
      </c>
      <c r="AN232" s="68">
        <f>IF($Z$3="yes", 0.378405500000001/$X232, 0.378405500000001)</f>
        <v>0.3319346491228079</v>
      </c>
      <c r="AO232" s="68">
        <f>IF($Z$3="yes", 0.394013500000001/$X232, 0.394013500000001)</f>
        <v>0.34562587719298338</v>
      </c>
      <c r="AP232" s="68">
        <f>IF($Z$3="yes", 0.435455500000002/$X232, 0.435455500000002)</f>
        <v>0.38197850877193162</v>
      </c>
      <c r="AQ232" s="68">
        <f>IF($Z$3="yes", 0.366446928571429/$X232, 0.366446928571429)</f>
        <v>0.32144467418546407</v>
      </c>
      <c r="AR232" s="68">
        <f>IF($Z$3="yes", 0.2656255/$X232, 0.2656255)</f>
        <v>0.23300482456140353</v>
      </c>
      <c r="AS232" s="68">
        <f>IF($Z$3="yes", 0.0298310000000011/$X232, 0.0298310000000011)</f>
        <v>2.6167543859650089E-2</v>
      </c>
      <c r="AT232" s="68">
        <f>IF($Z$3="yes", 0.0454390000000011/$X232, 0.0454390000000011)</f>
        <v>3.9858771929825523E-2</v>
      </c>
      <c r="AU232" s="88">
        <f>IF($Z$3="yes", 0.0868810000000017/$X232, 0.0868810000000017)</f>
        <v>7.6211403508773437E-2</v>
      </c>
      <c r="AV232" s="88">
        <f>IF($Z$3="yes", 0.0178724285714291/$X232, 0.0178724285714291)</f>
        <v>1.5677568922306231E-2</v>
      </c>
      <c r="AW232" s="88">
        <f>IF($Z$3="yes", 0.0829489999999999/$X232, 0.0829489999999999)</f>
        <v>7.2762280701754306E-2</v>
      </c>
      <c r="AX232" s="88">
        <f>IF($Z$3="yes", 0.0156079999999999/$X232, 0.0156079999999999)</f>
        <v>1.3691228070175351E-2</v>
      </c>
      <c r="AY232" s="88">
        <f>IF($Z$3="yes", 0.0414420000000008/$X232, 0.0414420000000008)</f>
        <v>3.6352631578948073E-2</v>
      </c>
      <c r="AZ232" s="88">
        <f>IF($Z$3="yes", 0.0275665714285719/$X232, 0.0275665714285719)</f>
        <v>2.4181203007519213E-2</v>
      </c>
      <c r="BA232" s="88">
        <f>IF($Z$3="yes", 0.128388000000001/$X232, 0.128388000000001)</f>
        <v>0.11262105263157983</v>
      </c>
      <c r="BB232" s="88">
        <f>IF($Z$3="yes", 0.0570500000000008/$X232, 0.0570500000000008)</f>
        <v>5.0043859649123515E-2</v>
      </c>
      <c r="BC232" s="88">
        <f>IF($Z$3="yes", 0.011958571428572/$X232, 0.011958571428572)</f>
        <v>1.0489974937343861E-2</v>
      </c>
      <c r="BD232" s="88">
        <f>IF($Z$3="yes", 0.112780000000001/$X232, 0.112780000000001)</f>
        <v>9.8929824561404395E-2</v>
      </c>
      <c r="BE232" s="88">
        <f>IF($Z$3="yes", 0.0690085714285728/$X232, 0.0690085714285728)</f>
        <v>6.0533834586467376E-2</v>
      </c>
      <c r="BF232" s="88">
        <f>IF($Z$3="yes", 0.169830000000001/$X232, 0.169830000000001)</f>
        <v>0.1489736842105272</v>
      </c>
      <c r="BG232" s="88">
        <f>IF($Z$3="yes", 0.100821428571429/$X232, 0.100821428571429)</f>
        <v>8.843984962406054E-2</v>
      </c>
      <c r="BH232" s="88">
        <f>IF($Z$3="yes", 0.125947265306122/$X232, 0.125947265306122)</f>
        <v>0.11048005728607194</v>
      </c>
      <c r="BI232" s="68"/>
      <c r="BJ232" s="68"/>
      <c r="BK232" s="68">
        <f>IF($BL$3="yes", MAX(0, (3746907 - 5587805.4) / 2482761.27403152), 5587805.4)</f>
        <v>5587805.4000000004</v>
      </c>
      <c r="BL232" s="68">
        <f>IF($BL$3="yes", MAX(0, (3746907 - 8968948.6) / 7519335.049887), 8968948.6)</f>
        <v>8968948.5999999996</v>
      </c>
      <c r="BM232" s="68">
        <f>IF($BL$3="yes", MAX(0, (3746907 - 7022249.2) / 5920545.59588092), 7022249.2)</f>
        <v>7022249.2000000002</v>
      </c>
      <c r="BN232" s="68">
        <f>IF($BL$3="yes", MAX(0, (3746907 - 4088714.78) / 5636956.29064065), 4088714.78)</f>
        <v>4088714.78</v>
      </c>
      <c r="BO232" s="68">
        <f>IF($BL$3="yes", MAX(0, (3746907 - 2359066.14) / 4402151.06388552), 2359066.14)</f>
        <v>2359066.14</v>
      </c>
      <c r="BP232" s="68">
        <f>IF($BL$3="yes", MAX(0, (3746907 - 2059936.24) / 3979072.41876662), 2059936.24)</f>
        <v>2059936.24</v>
      </c>
      <c r="BQ232" s="68">
        <v>61.135759298012879</v>
      </c>
      <c r="BR232" s="68"/>
      <c r="BS232" s="68"/>
      <c r="BT232" s="68">
        <v>-30180299.90736549</v>
      </c>
      <c r="BU232" s="68">
        <v>124696.6801276468</v>
      </c>
      <c r="BV232" s="68">
        <f>IF($Z$3="yes", 0.130930072063513/$X232, 0.130930072063513)</f>
        <v>0.11485094040659037</v>
      </c>
      <c r="BW232" s="68">
        <f>IF($Z$3="yes", 0.104516373639684/$X232, 0.104516373639684)</f>
        <v>9.1681029508494744E-2</v>
      </c>
      <c r="BX232" s="68">
        <f>$BW$139 - $BV$139</f>
        <v>7.7788312367571777E-2</v>
      </c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81"/>
      <c r="CR232" s="81"/>
      <c r="CS232" s="68"/>
      <c r="CT232" s="68"/>
      <c r="CU232" s="68"/>
    </row>
    <row r="233" spans="1:99" ht="15.75" customHeight="1" thickBot="1" x14ac:dyDescent="0.3">
      <c r="A233" s="84"/>
      <c r="B233" s="67" t="s">
        <v>128</v>
      </c>
      <c r="C233" s="67" t="s">
        <v>525</v>
      </c>
      <c r="D233" s="67" t="s">
        <v>210</v>
      </c>
      <c r="E233" s="67">
        <v>1</v>
      </c>
      <c r="F233" s="85">
        <v>3.47</v>
      </c>
      <c r="G233" s="313">
        <v>44217</v>
      </c>
      <c r="H233" s="317">
        <v>3.71</v>
      </c>
      <c r="I233" s="85">
        <v>19.78</v>
      </c>
      <c r="J233" s="313">
        <v>44244</v>
      </c>
      <c r="K233" s="191">
        <f t="shared" si="8"/>
        <v>6.9164265129682878E-2</v>
      </c>
      <c r="L233" s="149">
        <f t="shared" si="9"/>
        <v>4.7002881844380404</v>
      </c>
      <c r="M233" s="312">
        <v>44407</v>
      </c>
      <c r="N233" s="68"/>
      <c r="O233" s="291">
        <v>19168609</v>
      </c>
      <c r="P233" s="291">
        <v>7380000</v>
      </c>
      <c r="Q233" s="291">
        <v>27</v>
      </c>
      <c r="R233" s="68" t="s">
        <v>211</v>
      </c>
      <c r="S233" s="68" t="s">
        <v>135</v>
      </c>
      <c r="T233" s="67" t="s">
        <v>136</v>
      </c>
      <c r="U233" s="68">
        <v>12</v>
      </c>
      <c r="V233" s="68">
        <v>197807</v>
      </c>
      <c r="W233" s="68"/>
      <c r="X233" s="68">
        <v>3.49</v>
      </c>
      <c r="Y233" s="68">
        <v>2.7625270000000022</v>
      </c>
      <c r="Z233" s="68">
        <v>3.1498230000000018</v>
      </c>
      <c r="AA233" s="68">
        <v>3.1320339999999969</v>
      </c>
      <c r="AB233" s="68">
        <v>3.0752339999999978</v>
      </c>
      <c r="AC233" s="68">
        <v>3.2395000000000032</v>
      </c>
      <c r="AD233" s="68">
        <v>3.3285714285714278</v>
      </c>
      <c r="AE233" s="68">
        <v>3.40625</v>
      </c>
      <c r="AF233" s="68">
        <f>IF($Z$3="yes", 0.00759067831695784/$X233, 0.00759067831695784)</f>
        <v>2.1749794604463725E-3</v>
      </c>
      <c r="AG233" s="68">
        <f>IF($Z$3="yes", 0.000366504050404875/$X233, 0.000366504050404875)</f>
        <v>1.0501548722202722E-4</v>
      </c>
      <c r="AH233" s="68">
        <f>IF($Z$3="yes", 0.00858845138055214/$X233, 0.00858845138055214)</f>
        <v>2.4608743210751119E-3</v>
      </c>
      <c r="AI233" s="68">
        <f>IF($Z$3="yes", -0.000485546218487629/$X233, -0.000485546218487629)</f>
        <v>-1.3912499097066733E-4</v>
      </c>
      <c r="AJ233" s="68">
        <f>IF($Z$3="yes", 0.0304135338345874/$X233, 0.0304135338345874)</f>
        <v>8.7144796087642966E-3</v>
      </c>
      <c r="AK233" s="68">
        <f>IF($Z$3="yes", 0.0321318681318678/$X233, 0.0321318681318678)</f>
        <v>9.2068390062658451E-3</v>
      </c>
      <c r="AL233" s="68">
        <f>IF($Z$3="yes", 0.0232142857142859/$X233, 0.0232142857142859)</f>
        <v>6.6516577977896556E-3</v>
      </c>
      <c r="AM233" s="68">
        <f>IF($Z$3="yes", 0.387295999999999/$X233, 0.387295999999999)</f>
        <v>0.11097306590257849</v>
      </c>
      <c r="AN233" s="68">
        <f>IF($Z$3="yes", 0.369506999999994/$X233, 0.369506999999994)</f>
        <v>0.10587593123208996</v>
      </c>
      <c r="AO233" s="68">
        <f>IF($Z$3="yes", 0.312706999999995/$X233, 0.312706999999995)</f>
        <v>8.9600859598852431E-2</v>
      </c>
      <c r="AP233" s="68">
        <f>IF($Z$3="yes", 0.476973/$X233, 0.476973)</f>
        <v>0.13666848137535814</v>
      </c>
      <c r="AQ233" s="68">
        <f>IF($Z$3="yes", 0.566044428571425/$X233, 0.566044428571425)</f>
        <v>0.1621903806794914</v>
      </c>
      <c r="AR233" s="68">
        <f>IF($Z$3="yes", 0.643722999999997/$X233, 0.643722999999997)</f>
        <v>0.18444785100286448</v>
      </c>
      <c r="AS233" s="68">
        <f>IF($Z$3="yes", 0.0177890000000044/$X233, 0.0177890000000044)</f>
        <v>5.0971346704883659E-3</v>
      </c>
      <c r="AT233" s="68">
        <f>IF($Z$3="yes", 0.0745890000000035/$X233, 0.0745890000000035)</f>
        <v>2.1372206303725931E-2</v>
      </c>
      <c r="AU233" s="88">
        <f>IF($Z$3="yes", 0.0896770000000009/$X233, 0.0896770000000009)</f>
        <v>2.5695415472779624E-2</v>
      </c>
      <c r="AV233" s="88">
        <f>IF($Z$3="yes", 0.178748428571426/$X233, 0.178748428571426)</f>
        <v>5.1217314776912895E-2</v>
      </c>
      <c r="AW233" s="88">
        <f>IF($Z$3="yes", 0.256426999999998/$X233, 0.256426999999998)</f>
        <v>7.3474785100285961E-2</v>
      </c>
      <c r="AX233" s="88">
        <f>IF($Z$3="yes", 0.056799999999999/$X233, 0.056799999999999)</f>
        <v>1.6275071633237534E-2</v>
      </c>
      <c r="AY233" s="88">
        <f>IF($Z$3="yes", 0.164266000000004/$X233, 0.164266000000004)</f>
        <v>4.706762177650544E-2</v>
      </c>
      <c r="AZ233" s="88">
        <f>IF($Z$3="yes", 0.25333742857143/$X233, 0.25333742857143)</f>
        <v>7.2589521080638958E-2</v>
      </c>
      <c r="BA233" s="88">
        <f>IF($Z$3="yes", 0.331016000000002/$X233, 0.331016000000002)</f>
        <v>9.4846991404012024E-2</v>
      </c>
      <c r="BB233" s="88">
        <f>IF($Z$3="yes", 0.107466000000005/$X233, 0.107466000000005)</f>
        <v>3.0792550143267906E-2</v>
      </c>
      <c r="BC233" s="88">
        <f>IF($Z$3="yes", 0.19653742857143/$X233, 0.19653742857143)</f>
        <v>5.631444944740114E-2</v>
      </c>
      <c r="BD233" s="88">
        <f>IF($Z$3="yes", 0.274216000000003/$X233, 0.274216000000003)</f>
        <v>7.8571919770774504E-2</v>
      </c>
      <c r="BE233" s="88">
        <f>IF($Z$3="yes", 0.0890714285714251/$X233, 0.0890714285714251)</f>
        <v>2.5521899304133264E-2</v>
      </c>
      <c r="BF233" s="88">
        <f>IF($Z$3="yes", 0.166749999999997/$X233, 0.166749999999997)</f>
        <v>4.7779369627506306E-2</v>
      </c>
      <c r="BG233" s="88">
        <f>IF($Z$3="yes", 0.0776785714285721/$X233, 0.0776785714285721)</f>
        <v>2.2257470323373094E-2</v>
      </c>
      <c r="BH233" s="88">
        <f>IF($Z$3="yes", 0.402474299319728/$X233, 0.402474299319728)</f>
        <v>0.11532214880221432</v>
      </c>
      <c r="BI233" s="68"/>
      <c r="BJ233" s="68"/>
      <c r="BK233" s="68">
        <f>IF($BL$3="yes", MAX(0, (197807 - 188442.8) / 47080.6289779565), 188442.8)</f>
        <v>188442.8</v>
      </c>
      <c r="BL233" s="68">
        <f>IF($BL$3="yes", MAX(0, (197807 - 548532.2) / 697116.699889595), 548532.2)</f>
        <v>548532.19999999995</v>
      </c>
      <c r="BM233" s="68">
        <f>IF($BL$3="yes", MAX(0, (197807 - 423856.7) / 519230.785056905), 423856.7)</f>
        <v>423856.7</v>
      </c>
      <c r="BN233" s="68">
        <f>IF($BL$3="yes", MAX(0, (197807 - 467961.26) / 1098967.72983624), 467961.26)</f>
        <v>467961.26</v>
      </c>
      <c r="BO233" s="68">
        <f>IF($BL$3="yes", MAX(0, (197807 - 452528.39) / 1775302.74474319), 452528.39)</f>
        <v>452528.39</v>
      </c>
      <c r="BP233" s="68">
        <f>IF($BL$3="yes", MAX(0, (197807 - 283143.155) / 1277173.53300584), 283143.155)</f>
        <v>283143.15500000003</v>
      </c>
      <c r="BQ233" s="68">
        <v>57.094820871260588</v>
      </c>
      <c r="BR233" s="68"/>
      <c r="BS233" s="68"/>
      <c r="BT233" s="68">
        <v>-21924797.47033523</v>
      </c>
      <c r="BU233" s="68">
        <v>-48412.71461616084</v>
      </c>
      <c r="BV233" s="68">
        <f>IF($Z$3="yes", 0.256988531390746/$X233, 0.256988531390746)</f>
        <v>7.3635682346918627E-2</v>
      </c>
      <c r="BW233" s="68">
        <f>IF($Z$3="yes", 0.297959731916968/$X233, 0.297959731916968)</f>
        <v>8.5375281351566759E-2</v>
      </c>
      <c r="BX233" s="68">
        <f>$BW$129 - $BV$129</f>
        <v>0.32337351803989334</v>
      </c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81"/>
      <c r="CR233" s="81"/>
      <c r="CS233" s="68"/>
      <c r="CT233" s="68"/>
      <c r="CU233" s="68"/>
    </row>
    <row r="234" spans="1:99" ht="15.75" customHeight="1" thickBot="1" x14ac:dyDescent="0.3">
      <c r="A234" s="84"/>
      <c r="B234" s="67" t="s">
        <v>128</v>
      </c>
      <c r="C234" s="83" t="s">
        <v>600</v>
      </c>
      <c r="D234" s="67" t="s">
        <v>601</v>
      </c>
      <c r="E234" s="67">
        <v>1</v>
      </c>
      <c r="F234" s="85">
        <v>4.34</v>
      </c>
      <c r="G234" s="313">
        <v>44213</v>
      </c>
      <c r="H234" s="317">
        <v>2.38</v>
      </c>
      <c r="I234" s="85">
        <v>6.5</v>
      </c>
      <c r="J234" s="313">
        <v>44237</v>
      </c>
      <c r="K234" s="125">
        <f t="shared" si="8"/>
        <v>-0.45161290322580649</v>
      </c>
      <c r="L234" s="233">
        <f t="shared" si="9"/>
        <v>0.49769585253456228</v>
      </c>
      <c r="M234" s="312">
        <v>44373</v>
      </c>
      <c r="N234" s="68"/>
      <c r="O234" s="291">
        <v>16811513</v>
      </c>
      <c r="P234" s="291">
        <v>10210000</v>
      </c>
      <c r="Q234" s="291">
        <v>24</v>
      </c>
      <c r="R234" s="68" t="s">
        <v>131</v>
      </c>
      <c r="S234" s="68" t="s">
        <v>493</v>
      </c>
      <c r="T234" s="67" t="s">
        <v>494</v>
      </c>
      <c r="U234" s="68">
        <v>76</v>
      </c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88"/>
      <c r="AV234" s="88"/>
      <c r="AW234" s="88"/>
      <c r="AX234" s="88"/>
      <c r="AY234" s="88"/>
      <c r="AZ234" s="88"/>
      <c r="BA234" s="88"/>
      <c r="BB234" s="88"/>
      <c r="BC234" s="88"/>
      <c r="BD234" s="88"/>
      <c r="BE234" s="88"/>
      <c r="BF234" s="88"/>
      <c r="BG234" s="88"/>
      <c r="BH234" s="8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81"/>
      <c r="CR234" s="81"/>
      <c r="CS234" s="68"/>
      <c r="CT234" s="68"/>
      <c r="CU234" s="68"/>
    </row>
    <row r="235" spans="1:99" ht="15.75" customHeight="1" thickBot="1" x14ac:dyDescent="0.3">
      <c r="A235" s="84" t="s">
        <v>602</v>
      </c>
      <c r="B235" s="67" t="s">
        <v>128</v>
      </c>
      <c r="C235" s="67" t="s">
        <v>525</v>
      </c>
      <c r="D235" s="67" t="s">
        <v>603</v>
      </c>
      <c r="E235" s="67">
        <v>1</v>
      </c>
      <c r="F235" s="85">
        <v>1.5</v>
      </c>
      <c r="G235" s="313">
        <v>44211</v>
      </c>
      <c r="H235" s="317">
        <v>1.38</v>
      </c>
      <c r="I235" s="85">
        <v>2.58</v>
      </c>
      <c r="J235" s="313">
        <v>44236</v>
      </c>
      <c r="K235" s="87">
        <f t="shared" si="8"/>
        <v>-8.0000000000000071E-2</v>
      </c>
      <c r="L235" s="234">
        <f t="shared" si="9"/>
        <v>0.72</v>
      </c>
      <c r="M235" s="312">
        <v>44407</v>
      </c>
      <c r="N235" s="68"/>
      <c r="O235" s="291">
        <v>55616643</v>
      </c>
      <c r="P235" s="291">
        <v>6460000</v>
      </c>
      <c r="Q235" s="291">
        <v>25</v>
      </c>
      <c r="R235" s="68" t="s">
        <v>506</v>
      </c>
      <c r="S235" s="68" t="s">
        <v>148</v>
      </c>
      <c r="T235" s="68" t="s">
        <v>154</v>
      </c>
      <c r="U235" s="68">
        <v>80</v>
      </c>
      <c r="V235" s="68">
        <v>251020</v>
      </c>
      <c r="W235" s="68"/>
      <c r="X235" s="68">
        <v>1.5</v>
      </c>
      <c r="Y235" s="68">
        <v>1.6371815000000021</v>
      </c>
      <c r="Z235" s="68">
        <v>1.4281779999999991</v>
      </c>
      <c r="AA235" s="68">
        <v>1.4179980000000001</v>
      </c>
      <c r="AB235" s="68">
        <v>1.410069999999999</v>
      </c>
      <c r="AC235" s="68">
        <v>1.483749999999999</v>
      </c>
      <c r="AD235" s="68">
        <v>1.483214285714286</v>
      </c>
      <c r="AE235" s="68">
        <v>1.4637500000000001</v>
      </c>
      <c r="AF235" s="68">
        <f>IF($Z$3="yes", -0.00281992312307824/$X235, -0.00281992312307824)</f>
        <v>-1.8799487487188267E-3</v>
      </c>
      <c r="AG235" s="68">
        <f>IF($Z$3="yes", -0.000284277227722659/$X235, -0.000284277227722659)</f>
        <v>-1.8951815181510602E-4</v>
      </c>
      <c r="AH235" s="68">
        <f>IF($Z$3="yes", 0.00347199519807942/$X235, 0.00347199519807942)</f>
        <v>2.3146634653862801E-3</v>
      </c>
      <c r="AI235" s="68">
        <f>IF($Z$3="yes", 0.00221098199279734/$X235, 0.00221098199279734)</f>
        <v>1.4739879951982265E-3</v>
      </c>
      <c r="AJ235" s="68">
        <f>IF($Z$3="yes", -0.00110902255638919/$X235, -0.00110902255638919)</f>
        <v>-7.3934837092612664E-4</v>
      </c>
      <c r="AK235" s="68">
        <f>IF($Z$3="yes", -0.00460439560439573/$X235, -0.00460439560439573)</f>
        <v>-3.0695970695971534E-3</v>
      </c>
      <c r="AL235" s="68">
        <f>IF($Z$3="yes", 0.01797619047619/$X235, 0.01797619047619)</f>
        <v>1.1984126984126667E-2</v>
      </c>
      <c r="AM235" s="68">
        <f>IF($Z$3="yes", 0.209003500000003/$X235, 0.209003500000003)</f>
        <v>0.13933566666666866</v>
      </c>
      <c r="AN235" s="68">
        <f>IF($Z$3="yes", 0.219183500000002/$X235, 0.219183500000002)</f>
        <v>0.14612233333333466</v>
      </c>
      <c r="AO235" s="68">
        <f>IF($Z$3="yes", 0.227111500000003/$X235, 0.227111500000003)</f>
        <v>0.15140766666666866</v>
      </c>
      <c r="AP235" s="68">
        <f>IF($Z$3="yes", 0.153431500000003/$X235, 0.153431500000003)</f>
        <v>0.10228766666666866</v>
      </c>
      <c r="AQ235" s="68">
        <f>IF($Z$3="yes", 0.153967214285716/$X235, 0.153967214285716)</f>
        <v>0.10264480952381067</v>
      </c>
      <c r="AR235" s="68">
        <f>IF($Z$3="yes", 0.173431500000002/$X235, 0.173431500000002)</f>
        <v>0.11562100000000132</v>
      </c>
      <c r="AS235" s="68">
        <f>IF($Z$3="yes", 0.0101799999999994/$X235, 0.0101799999999994)</f>
        <v>6.7866666666662667E-3</v>
      </c>
      <c r="AT235" s="68">
        <f>IF($Z$3="yes", 0.0181079999999997/$X235, 0.0181079999999997)</f>
        <v>1.20719999999998E-2</v>
      </c>
      <c r="AU235" s="88">
        <f>IF($Z$3="yes", 0.0555720000000001/$X235, 0.0555720000000001)</f>
        <v>3.7048000000000067E-2</v>
      </c>
      <c r="AV235" s="88">
        <f>IF($Z$3="yes", 0.0550362857142865/$X235, 0.0550362857142865)</f>
        <v>3.669085714285767E-2</v>
      </c>
      <c r="AW235" s="88">
        <f>IF($Z$3="yes", 0.0355720000000008/$X235, 0.0355720000000008)</f>
        <v>2.3714666666667199E-2</v>
      </c>
      <c r="AX235" s="88">
        <f>IF($Z$3="yes", 0.00792800000000038/$X235, 0.00792800000000038)</f>
        <v>5.2853333333335861E-3</v>
      </c>
      <c r="AY235" s="88">
        <f>IF($Z$3="yes", 0.0736799999999999/$X235, 0.0736799999999999)</f>
        <v>4.9119999999999935E-2</v>
      </c>
      <c r="AZ235" s="88">
        <f>IF($Z$3="yes", 0.0731442857142863/$X235, 0.0731442857142863)</f>
        <v>4.8762857142857531E-2</v>
      </c>
      <c r="BA235" s="88">
        <f>IF($Z$3="yes", 0.0536800000000006/$X235, 0.0536800000000006)</f>
        <v>3.578666666666707E-2</v>
      </c>
      <c r="BB235" s="88">
        <f>IF($Z$3="yes", 0.0657519999999995/$X235, 0.0657519999999995)</f>
        <v>4.3834666666666335E-2</v>
      </c>
      <c r="BC235" s="88">
        <f>IF($Z$3="yes", 0.0652162857142859/$X235, 0.0652162857142859)</f>
        <v>4.3477523809523931E-2</v>
      </c>
      <c r="BD235" s="88">
        <f>IF($Z$3="yes", 0.0457520000000002/$X235, 0.0457520000000002)</f>
        <v>3.0501333333333467E-2</v>
      </c>
      <c r="BE235" s="88">
        <f>IF($Z$3="yes", 0.000535714285713639/$X235, 0.000535714285713639)</f>
        <v>3.5714285714242601E-4</v>
      </c>
      <c r="BF235" s="88">
        <f>IF($Z$3="yes", 0.0199999999999993/$X235, 0.0199999999999993)</f>
        <v>1.3333333333332866E-2</v>
      </c>
      <c r="BG235" s="88">
        <f>IF($Z$3="yes", 0.0194642857142857/$X235, 0.0194642857142857)</f>
        <v>1.2976190476190468E-2</v>
      </c>
      <c r="BH235" s="88">
        <f>IF($Z$3="yes", 0.168885006802721/$X235, 0.168885006802721)</f>
        <v>0.11259000453514734</v>
      </c>
      <c r="BI235" s="68"/>
      <c r="BJ235" s="68"/>
      <c r="BK235" s="68">
        <f>IF($BL$3="yes", MAX(0, (251020 - 347601.4) / 112275.523488603), 347601.4)</f>
        <v>347601.4</v>
      </c>
      <c r="BL235" s="68">
        <f>IF($BL$3="yes", MAX(0, (251020 - 389768.2) / 137397.848560157), 389768.2)</f>
        <v>389768.2</v>
      </c>
      <c r="BM235" s="68">
        <f>IF($BL$3="yes", MAX(0, (251020 - 521834.5) / 264279.412075647), 521834.5)</f>
        <v>521834.5</v>
      </c>
      <c r="BN235" s="68">
        <f>IF($BL$3="yes", MAX(0, (251020 - 580802.5) / 912832.013987661), 580802.5)</f>
        <v>580802.5</v>
      </c>
      <c r="BO235" s="68">
        <f>IF($BL$3="yes", MAX(0, (251020 - 318641.07) / 697298.79187842), 318641.07)</f>
        <v>318641.07</v>
      </c>
      <c r="BP235" s="68">
        <f>IF($BL$3="yes", MAX(0, (251020 - 235494.725) / 517175.331895788), 235494.725)</f>
        <v>235494.72500000001</v>
      </c>
      <c r="BQ235" s="68">
        <v>53.547995991206008</v>
      </c>
      <c r="BR235" s="68"/>
      <c r="BS235" s="68"/>
      <c r="BT235" s="68">
        <v>1066163.0876178881</v>
      </c>
      <c r="BU235" s="68">
        <v>12597.21294774255</v>
      </c>
      <c r="BV235" s="68">
        <f>IF($Z$3="yes", 0.112808117676394/$X235, 0.112808117676394)</f>
        <v>7.5205411784262668E-2</v>
      </c>
      <c r="BW235" s="68">
        <f>IF($Z$3="yes", 0.112537931805766/$X235, 0.112537931805766)</f>
        <v>7.5025287870510673E-2</v>
      </c>
      <c r="BX235" s="68">
        <f>$BW$116 - $BV$116</f>
        <v>3.1519699168999257E-2</v>
      </c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81"/>
      <c r="CR235" s="81"/>
      <c r="CS235" s="68"/>
      <c r="CT235" s="68"/>
      <c r="CU235" s="68"/>
    </row>
    <row r="236" spans="1:99" ht="15.75" customHeight="1" thickBot="1" x14ac:dyDescent="0.3">
      <c r="A236" s="84" t="s">
        <v>194</v>
      </c>
      <c r="B236" s="67" t="s">
        <v>128</v>
      </c>
      <c r="C236" s="83" t="s">
        <v>600</v>
      </c>
      <c r="D236" s="67" t="s">
        <v>604</v>
      </c>
      <c r="E236" s="67">
        <v>1</v>
      </c>
      <c r="F236" s="85">
        <v>3.85</v>
      </c>
      <c r="G236" s="313">
        <v>44210</v>
      </c>
      <c r="H236" s="317">
        <v>6.5</v>
      </c>
      <c r="I236" s="317">
        <v>6.5</v>
      </c>
      <c r="J236" s="313">
        <v>44378</v>
      </c>
      <c r="K236" s="206">
        <f t="shared" si="8"/>
        <v>0.68831168831168821</v>
      </c>
      <c r="L236" s="206">
        <f t="shared" si="9"/>
        <v>0.68831168831168821</v>
      </c>
      <c r="M236" s="312">
        <v>44407</v>
      </c>
      <c r="N236" s="68"/>
      <c r="O236" s="291">
        <v>18329600</v>
      </c>
      <c r="P236" s="291">
        <v>5300000</v>
      </c>
      <c r="Q236" s="291">
        <v>168</v>
      </c>
      <c r="R236" s="68" t="s">
        <v>152</v>
      </c>
      <c r="S236" s="68" t="s">
        <v>135</v>
      </c>
      <c r="T236" s="67" t="s">
        <v>136</v>
      </c>
      <c r="U236" s="68">
        <v>64</v>
      </c>
      <c r="V236" s="68">
        <v>361690</v>
      </c>
      <c r="W236" s="68"/>
      <c r="X236" s="68">
        <v>3.72</v>
      </c>
      <c r="Y236" s="68">
        <v>4.6555749999999989</v>
      </c>
      <c r="Z236" s="68">
        <v>4.5083739999999999</v>
      </c>
      <c r="AA236" s="68">
        <v>4.4435399999999978</v>
      </c>
      <c r="AB236" s="68">
        <v>4.6621399999999982</v>
      </c>
      <c r="AC236" s="68">
        <v>4.0232550000000007</v>
      </c>
      <c r="AD236" s="68">
        <v>3.7121499999999958</v>
      </c>
      <c r="AE236" s="68">
        <v>3.7150000000000012</v>
      </c>
      <c r="AF236" s="68">
        <f>IF($Z$3="yes", -0.00357232670816739/$X236, -0.00357232670816739)</f>
        <v>-9.6030287853962094E-4</v>
      </c>
      <c r="AG236" s="68">
        <f>IF($Z$3="yes", -0.00272836123612348/$X236, -0.00272836123612348)</f>
        <v>-7.3343043981813978E-4</v>
      </c>
      <c r="AH236" s="68">
        <f>IF($Z$3="yes", -0.021281008403361/$X236, -0.021281008403361)</f>
        <v>-5.7207011836991938E-3</v>
      </c>
      <c r="AI236" s="68">
        <f>IF($Z$3="yes", -0.00693527010804308/$X236, -0.00693527010804308)</f>
        <v>-1.8643199215169568E-3</v>
      </c>
      <c r="AJ236" s="68">
        <f>IF($Z$3="yes", -0.0725152631578929/$X236, -0.0725152631578929)</f>
        <v>-1.9493350311261533E-2</v>
      </c>
      <c r="AK236" s="68">
        <f>IF($Z$3="yes", -0.00107890109889205/$X236, -0.00107890109889205)</f>
        <v>-2.9002717712151883E-4</v>
      </c>
      <c r="AL236" s="68">
        <f>IF($Z$3="yes", -0.000476190476192073/$X236, -0.000476190476192073)</f>
        <v>-1.2800819252475079E-4</v>
      </c>
      <c r="AM236" s="68">
        <f>IF($Z$3="yes", 0.147200999999999/$X236, 0.147200999999999)</f>
        <v>3.9570161290322307E-2</v>
      </c>
      <c r="AN236" s="68">
        <f>IF($Z$3="yes", 0.212035000000001/$X236, 0.212035000000001)</f>
        <v>5.6998655913978763E-2</v>
      </c>
      <c r="AO236" s="68">
        <f>IF($Z$3="yes", 0.00656499999999926/$X236, 0.00656499999999926)</f>
        <v>1.76478494623636E-3</v>
      </c>
      <c r="AP236" s="68">
        <f>IF($Z$3="yes", 0.632319999999998/$X236, 0.632319999999998)</f>
        <v>0.16997849462365536</v>
      </c>
      <c r="AQ236" s="68">
        <f>IF($Z$3="yes", 0.943425000000002/$X236, 0.943425000000002)</f>
        <v>0.25360887096774243</v>
      </c>
      <c r="AR236" s="68">
        <f>IF($Z$3="yes", 0.940574999999997/$X236, 0.940574999999997)</f>
        <v>0.25284274193548306</v>
      </c>
      <c r="AS236" s="68">
        <f>IF($Z$3="yes", 0.064834000000002/$X236, 0.064834000000002)</f>
        <v>1.7428494623656452E-2</v>
      </c>
      <c r="AT236" s="68">
        <f>IF($Z$3="yes", 0.153765999999998/$X236, 0.153765999999998)</f>
        <v>4.1334946236558597E-2</v>
      </c>
      <c r="AU236" s="88">
        <f>IF($Z$3="yes", 0.485118999999999/$X236, 0.485118999999999)</f>
        <v>0.13040833333333307</v>
      </c>
      <c r="AV236" s="88">
        <f>IF($Z$3="yes", 0.796224000000003/$X236, 0.796224000000003)</f>
        <v>0.21403870967742017</v>
      </c>
      <c r="AW236" s="88">
        <f>IF($Z$3="yes", 0.793373999999999/$X236, 0.793373999999999)</f>
        <v>0.21327258064516103</v>
      </c>
      <c r="AX236" s="88">
        <f>IF($Z$3="yes", 0.2186/$X236, 0.2186)</f>
        <v>5.8763440860215045E-2</v>
      </c>
      <c r="AY236" s="88">
        <f>IF($Z$3="yes", 0.638884999999997/$X236, 0.638884999999997)</f>
        <v>0.17174327956989166</v>
      </c>
      <c r="AZ236" s="88">
        <f>IF($Z$3="yes", 0.949990000000001/$X236, 0.949990000000001)</f>
        <v>0.25537365591397876</v>
      </c>
      <c r="BA236" s="88">
        <f>IF($Z$3="yes", 0.947139999999997/$X236, 0.947139999999997)</f>
        <v>0.25460752688171961</v>
      </c>
      <c r="BB236" s="88">
        <f>IF($Z$3="yes", 0.420284999999997/$X236, 0.420284999999997)</f>
        <v>0.11297983870967661</v>
      </c>
      <c r="BC236" s="88">
        <f>IF($Z$3="yes", 0.731390000000001/$X236, 0.731390000000001)</f>
        <v>0.19661021505376369</v>
      </c>
      <c r="BD236" s="88">
        <f>IF($Z$3="yes", 0.728539999999997/$X236, 0.728539999999997)</f>
        <v>0.19584408602150455</v>
      </c>
      <c r="BE236" s="88">
        <f>IF($Z$3="yes", 0.311105000000004/$X236, 0.311105000000004)</f>
        <v>8.3630376344087098E-2</v>
      </c>
      <c r="BF236" s="88">
        <f>IF($Z$3="yes", 0.308254999999999/$X236, 0.308254999999999)</f>
        <v>8.2864247311827691E-2</v>
      </c>
      <c r="BG236" s="88">
        <f>IF($Z$3="yes", 0.0028500000000049/$X236, 0.0028500000000049)</f>
        <v>7.6612903225938163E-4</v>
      </c>
      <c r="BH236" s="88">
        <f>IF($Z$3="yes", 0.606742571428572/$X236, 0.606742571428572)</f>
        <v>0.1631028417818742</v>
      </c>
      <c r="BI236" s="68"/>
      <c r="BJ236" s="68"/>
      <c r="BK236" s="68">
        <f>IF($BL$3="yes", MAX(0, (361690 - 315005) / 92482.1046343561), 315005)</f>
        <v>315005</v>
      </c>
      <c r="BL236" s="68">
        <f>IF($BL$3="yes", MAX(0, (361690 - 290680.3) / 77038.9931775461), 290680.3)</f>
        <v>290680.3</v>
      </c>
      <c r="BM236" s="68">
        <f>IF($BL$3="yes", MAX(0, (361690 - 1182358.45) / 2496339.39367962), 1182358.45)</f>
        <v>1182358.45</v>
      </c>
      <c r="BN236" s="68">
        <f>IF($BL$3="yes", MAX(0, (361690 - 477707.38) / 1680406.71449302), 477707.38)</f>
        <v>477707.38</v>
      </c>
      <c r="BO236" s="68">
        <f>IF($BL$3="yes", MAX(0, (361690 - 240645.19) / 1211647.06695777), 240645.19)</f>
        <v>240645.19</v>
      </c>
      <c r="BP236" s="68">
        <f>IF($BL$3="yes", MAX(0, (361690 - 122843.085) / 864844.642886754), 122843.085)</f>
        <v>122843.08500000001</v>
      </c>
      <c r="BQ236" s="68">
        <v>42.750310052121478</v>
      </c>
      <c r="BR236" s="68"/>
      <c r="BS236" s="68"/>
      <c r="BT236" s="68">
        <v>-11917260.03036353</v>
      </c>
      <c r="BU236" s="68">
        <v>-154163.2643927187</v>
      </c>
      <c r="BV236" s="68">
        <f>IF($Z$3="yes", 0.425993107336719/$X236, 0.425993107336719)</f>
        <v>0.11451427616578468</v>
      </c>
      <c r="BW236" s="68">
        <f>IF($Z$3="yes", 0.39257064785605/$X236, 0.39257064785605)</f>
        <v>0.10552974404732526</v>
      </c>
      <c r="BX236" s="68">
        <f>$BW$118 - $BV$118</f>
        <v>2.0101870968446636E-2</v>
      </c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81"/>
      <c r="CR236" s="81"/>
      <c r="CS236" s="68"/>
      <c r="CT236" s="68"/>
      <c r="CU236" s="68"/>
    </row>
    <row r="237" spans="1:99" ht="15.75" customHeight="1" thickBot="1" x14ac:dyDescent="0.3">
      <c r="A237" s="84" t="s">
        <v>194</v>
      </c>
      <c r="B237" s="67" t="s">
        <v>128</v>
      </c>
      <c r="C237" s="83" t="s">
        <v>600</v>
      </c>
      <c r="D237" s="67" t="s">
        <v>299</v>
      </c>
      <c r="E237" s="67">
        <v>1</v>
      </c>
      <c r="F237" s="85">
        <v>3.78</v>
      </c>
      <c r="G237" s="313">
        <v>44210</v>
      </c>
      <c r="H237" s="317">
        <v>1.89</v>
      </c>
      <c r="I237" s="85">
        <v>9.82</v>
      </c>
      <c r="J237" s="313">
        <v>44239</v>
      </c>
      <c r="K237" s="125">
        <f t="shared" si="8"/>
        <v>-0.5</v>
      </c>
      <c r="L237" s="236">
        <f t="shared" si="9"/>
        <v>1.5978835978835981</v>
      </c>
      <c r="M237" s="312">
        <v>44407</v>
      </c>
      <c r="N237" s="68"/>
      <c r="O237" s="291">
        <v>6333333</v>
      </c>
      <c r="P237" s="291">
        <v>8710000</v>
      </c>
      <c r="Q237" s="291">
        <v>26</v>
      </c>
      <c r="R237" s="68" t="s">
        <v>152</v>
      </c>
      <c r="S237" s="68" t="s">
        <v>132</v>
      </c>
      <c r="T237" s="67" t="s">
        <v>214</v>
      </c>
      <c r="U237" s="68">
        <v>24</v>
      </c>
      <c r="V237" s="68">
        <v>2057396</v>
      </c>
      <c r="W237" s="68"/>
      <c r="X237" s="68">
        <v>3.9</v>
      </c>
      <c r="Y237" s="68" t="e">
        <v>#N/A</v>
      </c>
      <c r="Z237" s="68">
        <v>5.4801889999999958</v>
      </c>
      <c r="AA237" s="68">
        <v>4.9589880000000006</v>
      </c>
      <c r="AB237" s="68">
        <v>5.3846200000000026</v>
      </c>
      <c r="AC237" s="68">
        <v>3.8997550000000012</v>
      </c>
      <c r="AD237" s="68">
        <v>3.8275071428571419</v>
      </c>
      <c r="AE237" s="68">
        <v>3.7631250000000001</v>
      </c>
      <c r="AF237" s="68" t="e">
        <f>IF($Z$3="yes", #N/A/$X237, #N/A)</f>
        <v>#N/A</v>
      </c>
      <c r="AG237" s="68">
        <f>IF($Z$3="yes", -0.0225149600960094/$X237, -0.0225149600960094)</f>
        <v>-5.7730666912844614E-3</v>
      </c>
      <c r="AH237" s="68">
        <f>IF($Z$3="yes", -0.0519530948379348/$X237, -0.0519530948379348)</f>
        <v>-1.3321306368701233E-2</v>
      </c>
      <c r="AI237" s="68">
        <f>IF($Z$3="yes", -0.0368725762304921/$X237, -0.0368725762304921)</f>
        <v>-9.4545067257672064E-3</v>
      </c>
      <c r="AJ237" s="68">
        <f>IF($Z$3="yes", -0.021613308270685/$X237, -0.021613308270685)</f>
        <v>-5.5418739155602562E-3</v>
      </c>
      <c r="AK237" s="68">
        <f>IF($Z$3="yes", -0.0137720879120972/$X237, -0.0137720879120972)</f>
        <v>-3.5313045928454362E-3</v>
      </c>
      <c r="AL237" s="68">
        <f>IF($Z$3="yes", 0.0119642857142856/$X237, 0.0119642857142856)</f>
        <v>3.0677655677655382E-3</v>
      </c>
      <c r="AM237" s="68"/>
      <c r="AN237" s="68"/>
      <c r="AO237" s="68"/>
      <c r="AP237" s="68"/>
      <c r="AQ237" s="68"/>
      <c r="AR237" s="68"/>
      <c r="AS237" s="68">
        <f>IF($Z$3="yes", 0.521200999999995/$X237, 0.521200999999995)</f>
        <v>0.13364128205128079</v>
      </c>
      <c r="AT237" s="68">
        <f>IF($Z$3="yes", 0.0955689999999931/$X237, 0.0955689999999931)</f>
        <v>2.4504871794870028E-2</v>
      </c>
      <c r="AU237" s="88">
        <f>IF($Z$3="yes", 1.58043399999999/$X237, 1.58043399999999)</f>
        <v>0.4052394871794846</v>
      </c>
      <c r="AV237" s="88">
        <f>IF($Z$3="yes", 1.65268185714285/$X237, 1.65268185714285)</f>
        <v>0.42376457875457696</v>
      </c>
      <c r="AW237" s="88">
        <f>IF($Z$3="yes", 1.71706399999999/$X237, 1.71706399999999)</f>
        <v>0.44027282051281796</v>
      </c>
      <c r="AX237" s="88">
        <f>IF($Z$3="yes", 0.425632000000002/$X237, 0.425632000000002)</f>
        <v>0.10913641025641077</v>
      </c>
      <c r="AY237" s="88">
        <f>IF($Z$3="yes", 1.484865/$X237, 1.484865)</f>
        <v>0.38073461538461539</v>
      </c>
      <c r="AZ237" s="88">
        <f>IF($Z$3="yes", 1.55711285714286/$X237, 1.55711285714286)</f>
        <v>0.39925970695970769</v>
      </c>
      <c r="BA237" s="88">
        <f>IF($Z$3="yes", 1.621495/$X237, 1.621495)</f>
        <v>0.4157679487179487</v>
      </c>
      <c r="BB237" s="88">
        <f>IF($Z$3="yes", 1.05923299999999/$X237, 1.05923299999999)</f>
        <v>0.2715982051282026</v>
      </c>
      <c r="BC237" s="88">
        <f>IF($Z$3="yes", 1.13148085714285/$X237, 1.13148085714285)</f>
        <v>0.2901232967032949</v>
      </c>
      <c r="BD237" s="88">
        <f>IF($Z$3="yes", 1.195863/$X237, 1.195863)</f>
        <v>0.30663153846153846</v>
      </c>
      <c r="BE237" s="88">
        <f>IF($Z$3="yes", 0.0722478571428593/$X237, 0.0722478571428593)</f>
        <v>1.8525091575092131E-2</v>
      </c>
      <c r="BF237" s="88">
        <f>IF($Z$3="yes", 0.136630000000001/$X237, 0.136630000000001)</f>
        <v>3.503333333333359E-2</v>
      </c>
      <c r="BG237" s="88">
        <f>IF($Z$3="yes", 0.0643821428571418/$X237, 0.0643821428571418)</f>
        <v>1.650824175824149E-2</v>
      </c>
      <c r="BH237" s="88">
        <f>IF($Z$3="yes", 0.574692272108843/$X237, 0.574692272108843)</f>
        <v>0.1473569928484213</v>
      </c>
      <c r="BI237" s="68"/>
      <c r="BJ237" s="68"/>
      <c r="BK237" s="68">
        <f>IF($BL$3="yes", MAX(0, (2057396 - 563157.4) / 752596.1975154), 563157.4)</f>
        <v>563157.4</v>
      </c>
      <c r="BL237" s="68">
        <f>IF($BL$3="yes", MAX(0, (2057396 - 418680.1) / 624714.670417055), 418680.1)</f>
        <v>418680.1</v>
      </c>
      <c r="BM237" s="68">
        <f>IF($BL$3="yes", MAX(0, (2057396 - 282670.05) / 468346.98382433), 282670.05)</f>
        <v>282670.05</v>
      </c>
      <c r="BN237" s="68">
        <f>IF($BL$3="yes", MAX(0, (2057396 - 161953.26) / 377499.384880866), 161953.26)</f>
        <v>161953.26</v>
      </c>
      <c r="BO237" s="68">
        <f>IF($BL$3="yes", MAX(0, (2057396 - 140541.07) / 395391.318415168), 140541.07)</f>
        <v>140541.07</v>
      </c>
      <c r="BP237" s="68">
        <f>IF($BL$3="yes", MAX(0, (2057396 - 111032.720930232) / 320670.970953371), 111032.720930232)</f>
        <v>111032.720930232</v>
      </c>
      <c r="BQ237" s="68">
        <v>39.171293886502077</v>
      </c>
      <c r="BR237" s="68"/>
      <c r="BS237" s="68"/>
      <c r="BT237" s="68">
        <v>-3620251.9640175411</v>
      </c>
      <c r="BU237" s="68">
        <v>127857.4743464557</v>
      </c>
      <c r="BV237" s="68">
        <f>IF($Z$3="yes", 0.389127675286195/$X237, 0.389127675286195)</f>
        <v>9.977632699646026E-2</v>
      </c>
      <c r="BW237" s="68">
        <f>IF($Z$3="yes", 0.494317530588016/$X237, 0.494317530588016)</f>
        <v>0.12674808476615795</v>
      </c>
      <c r="BX237" s="68">
        <f>$BW$119 - $BV$119</f>
        <v>1.9291416718303728E-2</v>
      </c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81"/>
      <c r="CR237" s="81"/>
      <c r="CS237" s="68"/>
      <c r="CT237" s="68"/>
      <c r="CU237" s="68"/>
    </row>
    <row r="238" spans="1:99" ht="15.75" customHeight="1" thickBot="1" x14ac:dyDescent="0.3">
      <c r="A238" s="84" t="s">
        <v>605</v>
      </c>
      <c r="B238" s="67" t="s">
        <v>128</v>
      </c>
      <c r="C238" s="83" t="s">
        <v>600</v>
      </c>
      <c r="D238" s="67" t="s">
        <v>496</v>
      </c>
      <c r="E238" s="67">
        <v>1</v>
      </c>
      <c r="F238" s="85">
        <v>0.9</v>
      </c>
      <c r="G238" s="313">
        <v>44210</v>
      </c>
      <c r="H238" s="317">
        <v>1.35</v>
      </c>
      <c r="I238" s="85">
        <v>4.25</v>
      </c>
      <c r="J238" s="313">
        <v>44238</v>
      </c>
      <c r="K238" s="238">
        <f t="shared" si="8"/>
        <v>0.5</v>
      </c>
      <c r="L238" s="149">
        <f t="shared" si="9"/>
        <v>3.7222222222222223</v>
      </c>
      <c r="M238" s="312">
        <v>44407</v>
      </c>
      <c r="N238" s="68"/>
      <c r="O238" s="291">
        <v>36273437</v>
      </c>
      <c r="P238" s="291">
        <v>9820000</v>
      </c>
      <c r="Q238" s="291">
        <v>25</v>
      </c>
      <c r="R238" s="68" t="s">
        <v>131</v>
      </c>
      <c r="S238" s="68" t="s">
        <v>192</v>
      </c>
      <c r="T238" s="68" t="s">
        <v>497</v>
      </c>
      <c r="U238" s="68">
        <v>460</v>
      </c>
      <c r="V238" s="68">
        <v>368849</v>
      </c>
      <c r="W238" s="68"/>
      <c r="X238" s="68">
        <v>0.95</v>
      </c>
      <c r="Y238" s="68">
        <v>0.96846549999999954</v>
      </c>
      <c r="Z238" s="68">
        <v>0.81379899999999961</v>
      </c>
      <c r="AA238" s="68">
        <v>0.80518600000000018</v>
      </c>
      <c r="AB238" s="68">
        <v>0.80599600000000027</v>
      </c>
      <c r="AC238" s="68">
        <v>0.82977999999999996</v>
      </c>
      <c r="AD238" s="68">
        <v>0.83604999999999985</v>
      </c>
      <c r="AE238" s="68">
        <v>0.87524999999999986</v>
      </c>
      <c r="AF238" s="68">
        <f>IF($Z$3="yes", -0.00292138715967894/$X238, -0.00292138715967894)</f>
        <v>-3.0751443786094105E-3</v>
      </c>
      <c r="AG238" s="68">
        <f>IF($Z$3="yes", -0.000304042604260404/$X238, -0.000304042604260404)</f>
        <v>-3.2004484658989895E-4</v>
      </c>
      <c r="AH238" s="68">
        <f>IF($Z$3="yes", 0.00213215366146456/$X238, 0.00213215366146456)</f>
        <v>2.2443722752258531E-3</v>
      </c>
      <c r="AI238" s="68">
        <f>IF($Z$3="yes", -0.000686751500600255/$X238, -0.000686751500600255)</f>
        <v>-7.2289631642132111E-4</v>
      </c>
      <c r="AJ238" s="68">
        <f>IF($Z$3="yes", 0.00627323308270579/$X238, 0.00627323308270579)</f>
        <v>6.6034032449534628E-3</v>
      </c>
      <c r="AK238" s="68">
        <f>IF($Z$3="yes", 0.0147224175824136/$X238, 0.0147224175824136)</f>
        <v>1.5497281665698527E-2</v>
      </c>
      <c r="AL238" s="68">
        <f>IF($Z$3="yes", 0.0265928571428571/$X238, 0.0265928571428571)</f>
        <v>2.7992481203007475E-2</v>
      </c>
      <c r="AM238" s="68">
        <f>IF($Z$3="yes", 0.154666499999999/$X238, 0.154666499999999)</f>
        <v>0.16280684210526214</v>
      </c>
      <c r="AN238" s="68">
        <f>IF($Z$3="yes", 0.163279499999999/$X238, 0.163279499999999)</f>
        <v>0.17187315789473578</v>
      </c>
      <c r="AO238" s="68">
        <f>IF($Z$3="yes", 0.162469499999999/$X238, 0.162469499999999)</f>
        <v>0.17102052631578843</v>
      </c>
      <c r="AP238" s="68">
        <f>IF($Z$3="yes", 0.138685499999999/$X238, 0.138685499999999)</f>
        <v>0.1459847368421042</v>
      </c>
      <c r="AQ238" s="68">
        <f>IF($Z$3="yes", 0.132415499999999/$X238, 0.132415499999999)</f>
        <v>0.1393847368421042</v>
      </c>
      <c r="AR238" s="68">
        <f>IF($Z$3="yes", 0.0932154999999996/$X238, 0.0932154999999996)</f>
        <v>9.8121578947368004E-2</v>
      </c>
      <c r="AS238" s="68">
        <f>IF($Z$3="yes", 0.00861299999999942/$X238, 0.00861299999999942)</f>
        <v>9.0663157894730739E-3</v>
      </c>
      <c r="AT238" s="68">
        <f>IF($Z$3="yes", 0.00780299999999933/$X238, 0.00780299999999933)</f>
        <v>8.2136842105256097E-3</v>
      </c>
      <c r="AU238" s="88">
        <f>IF($Z$3="yes", 0.0159810000000003/$X238, 0.0159810000000003)</f>
        <v>1.6822105263158211E-2</v>
      </c>
      <c r="AV238" s="88">
        <f>IF($Z$3="yes", 0.0222510000000002/$X238, 0.0222510000000002)</f>
        <v>2.3422105263158109E-2</v>
      </c>
      <c r="AW238" s="88">
        <f>IF($Z$3="yes", 0.0614510000000002/$X238, 0.0614510000000002)</f>
        <v>6.4685263157894954E-2</v>
      </c>
      <c r="AX238" s="88">
        <f>IF($Z$3="yes", 0.000810000000000088/$X238, 0.000810000000000088)</f>
        <v>8.5263157894746111E-4</v>
      </c>
      <c r="AY238" s="88">
        <f>IF($Z$3="yes", 0.0237839999999996/$X238, 0.0237839999999996)</f>
        <v>2.5035789473683793E-2</v>
      </c>
      <c r="AZ238" s="88">
        <f>IF($Z$3="yes", 0.0300539999999995/$X238, 0.0300539999999995)</f>
        <v>3.1635789473683687E-2</v>
      </c>
      <c r="BA238" s="88">
        <f>IF($Z$3="yes", 0.0692539999999996/$X238, 0.0692539999999996)</f>
        <v>7.2898947368420633E-2</v>
      </c>
      <c r="BB238" s="88">
        <f>IF($Z$3="yes", 0.0245939999999997/$X238, 0.0245939999999997)</f>
        <v>2.5888421052631262E-2</v>
      </c>
      <c r="BC238" s="88">
        <f>IF($Z$3="yes", 0.0308639999999996/$X238, 0.0308639999999996)</f>
        <v>3.248842105263116E-2</v>
      </c>
      <c r="BD238" s="88">
        <f>IF($Z$3="yes", 0.0700639999999996/$X238, 0.0700639999999996)</f>
        <v>7.3751578947368002E-2</v>
      </c>
      <c r="BE238" s="88">
        <f>IF($Z$3="yes", 0.00626999999999988/$X238, 0.00626999999999988)</f>
        <v>6.5999999999998742E-3</v>
      </c>
      <c r="BF238" s="88">
        <f>IF($Z$3="yes", 0.0454699999999999/$X238, 0.0454699999999999)</f>
        <v>4.7863157894736739E-2</v>
      </c>
      <c r="BG238" s="88">
        <f>IF($Z$3="yes", 0.0392/$X238, 0.0392)</f>
        <v>4.1263157894736842E-2</v>
      </c>
      <c r="BH238" s="88">
        <f>IF($Z$3="yes", 0.11270119047619/$X238, 0.11270119047619)</f>
        <v>0.11863283208020001</v>
      </c>
      <c r="BI238" s="68"/>
      <c r="BJ238" s="68"/>
      <c r="BK238" s="68">
        <f>IF($BL$3="yes", MAX(0, (368849 - 1035789.2) / 575466.047030196), 1035789.2)</f>
        <v>1035789.2</v>
      </c>
      <c r="BL238" s="68">
        <f>IF($BL$3="yes", MAX(0, (368849 - 635883.3) / 574315.267795668), 635883.3)</f>
        <v>635883.30000000005</v>
      </c>
      <c r="BM238" s="68">
        <f>IF($BL$3="yes", MAX(0, (368849 - 558984.8) / 570350.774661926), 558984.8)</f>
        <v>558984.80000000005</v>
      </c>
      <c r="BN238" s="68">
        <f>IF($BL$3="yes", MAX(0, (368849 - 404970.98) / 596502.986824458), 404970.98)</f>
        <v>404970.98</v>
      </c>
      <c r="BO238" s="68">
        <f>IF($BL$3="yes", MAX(0, (368849 - 306101.75) / 490585.598385875), 306101.75)</f>
        <v>306101.75</v>
      </c>
      <c r="BP238" s="68">
        <f>IF($BL$3="yes", MAX(0, (368849 - 462882.255) / 732163.656376011), 462882.255)</f>
        <v>462882.255</v>
      </c>
      <c r="BQ238" s="68">
        <v>67.618274037550748</v>
      </c>
      <c r="BR238" s="68"/>
      <c r="BS238" s="68"/>
      <c r="BT238" s="68">
        <v>3279702.905859299</v>
      </c>
      <c r="BU238" s="68">
        <v>249512.77514041771</v>
      </c>
      <c r="BV238" s="68">
        <f>IF($Z$3="yes", 0.062643613204146/$X238, 0.062643613204146)</f>
        <v>6.5940645478048426E-2</v>
      </c>
      <c r="BW238" s="68">
        <f>IF($Z$3="yes", 0.0607566992843945/$X238, 0.0607566992843945)</f>
        <v>6.395442029936263E-2</v>
      </c>
      <c r="BX238" s="68">
        <f>$BW$121 - $BV$121</f>
        <v>0.10738007249404583</v>
      </c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81"/>
      <c r="CR238" s="81"/>
      <c r="CS238" s="68"/>
      <c r="CT238" s="68"/>
      <c r="CU238" s="68"/>
    </row>
    <row r="239" spans="1:99" ht="15.75" customHeight="1" thickBot="1" x14ac:dyDescent="0.3">
      <c r="A239" s="84" t="s">
        <v>205</v>
      </c>
      <c r="B239" s="67" t="s">
        <v>128</v>
      </c>
      <c r="C239" s="83" t="s">
        <v>600</v>
      </c>
      <c r="D239" s="67" t="s">
        <v>478</v>
      </c>
      <c r="E239" s="67">
        <v>1</v>
      </c>
      <c r="F239" s="85">
        <v>1.89</v>
      </c>
      <c r="G239" s="313">
        <v>44210</v>
      </c>
      <c r="H239" s="317">
        <v>1.26</v>
      </c>
      <c r="I239" s="85">
        <v>3.7</v>
      </c>
      <c r="J239" s="313">
        <v>44239</v>
      </c>
      <c r="K239" s="125">
        <f t="shared" si="8"/>
        <v>-0.33333333333333326</v>
      </c>
      <c r="L239" s="237">
        <f t="shared" si="9"/>
        <v>0.9576719576719579</v>
      </c>
      <c r="M239" s="312">
        <v>44407</v>
      </c>
      <c r="N239" s="68"/>
      <c r="O239" s="291">
        <v>14867016</v>
      </c>
      <c r="P239" s="291">
        <v>10080000</v>
      </c>
      <c r="Q239" s="291">
        <v>26</v>
      </c>
      <c r="R239" s="68" t="s">
        <v>131</v>
      </c>
      <c r="S239" s="68" t="s">
        <v>479</v>
      </c>
      <c r="T239" s="68" t="s">
        <v>313</v>
      </c>
      <c r="U239" s="68">
        <v>88</v>
      </c>
      <c r="V239" s="68">
        <v>286551</v>
      </c>
      <c r="W239" s="68"/>
      <c r="X239" s="68">
        <v>1.89</v>
      </c>
      <c r="Y239" s="68">
        <v>2.053523999999999</v>
      </c>
      <c r="Z239" s="68">
        <v>1.908002</v>
      </c>
      <c r="AA239" s="68">
        <v>1.972600000000001</v>
      </c>
      <c r="AB239" s="68">
        <v>1.9377000000000011</v>
      </c>
      <c r="AC239" s="68">
        <v>1.919249999999999</v>
      </c>
      <c r="AD239" s="68">
        <v>1.8874999999999991</v>
      </c>
      <c r="AE239" s="68">
        <v>1.8887499999999999</v>
      </c>
      <c r="AF239" s="68">
        <f>IF($Z$3="yes", -0.000913161929048197/$X239, -0.000913161929048197)</f>
        <v>-4.8315445981386089E-4</v>
      </c>
      <c r="AG239" s="68">
        <f>IF($Z$3="yes", -0.000805512151215239/$X239, -0.000805512151215239)</f>
        <v>-4.2619690540488838E-4</v>
      </c>
      <c r="AH239" s="68">
        <f>IF($Z$3="yes", -0.00154525810324179/$X239, -0.00154525810324179)</f>
        <v>-8.1759688002211114E-4</v>
      </c>
      <c r="AI239" s="68">
        <f>IF($Z$3="yes", 0.00695870348139199/$X239, 0.00695870348139199)</f>
        <v>3.6818536938581958E-3</v>
      </c>
      <c r="AJ239" s="68">
        <f>IF($Z$3="yes", -0.00720676691728642/$X239, -0.00720676691728642)</f>
        <v>-3.8131041890404342E-3</v>
      </c>
      <c r="AK239" s="68">
        <f>IF($Z$3="yes", -0.00117582417583756/$X239, -0.00117582417583756)</f>
        <v>-6.2212919356484657E-4</v>
      </c>
      <c r="AL239" s="68">
        <f>IF($Z$3="yes", 0.00964285714285717/$X239, 0.00964285714285717)</f>
        <v>5.102040816326545E-3</v>
      </c>
      <c r="AM239" s="68">
        <f>IF($Z$3="yes", 0.145521999999998/$X239, 0.145521999999998)</f>
        <v>7.6995767195766132E-2</v>
      </c>
      <c r="AN239" s="68">
        <f>IF($Z$3="yes", 0.0809239999999975/$X239, 0.0809239999999975)</f>
        <v>4.2816931216929893E-2</v>
      </c>
      <c r="AO239" s="68">
        <f>IF($Z$3="yes", 0.115823999999997/$X239, 0.115823999999997)</f>
        <v>6.1282539682538099E-2</v>
      </c>
      <c r="AP239" s="68">
        <f>IF($Z$3="yes", 0.134273999999999/$X239, 0.134273999999999)</f>
        <v>7.1044444444443924E-2</v>
      </c>
      <c r="AQ239" s="68">
        <f>IF($Z$3="yes", 0.166023999999999/$X239, 0.166023999999999)</f>
        <v>8.7843386243385724E-2</v>
      </c>
      <c r="AR239" s="68">
        <f>IF($Z$3="yes", 0.164773999999998/$X239, 0.164773999999998)</f>
        <v>8.7182010582009528E-2</v>
      </c>
      <c r="AS239" s="68">
        <f>IF($Z$3="yes", 0.0645980000000006/$X239, 0.0645980000000006)</f>
        <v>3.4178835978836294E-2</v>
      </c>
      <c r="AT239" s="68">
        <f>IF($Z$3="yes", 0.0296980000000008/$X239, 0.0296980000000008)</f>
        <v>1.5713227513227939E-2</v>
      </c>
      <c r="AU239" s="88">
        <f>IF($Z$3="yes", 0.0112479999999988/$X239, 0.0112479999999988)</f>
        <v>5.9513227513221167E-3</v>
      </c>
      <c r="AV239" s="88">
        <f>IF($Z$3="yes", 0.0205020000000011/$X239, 0.0205020000000011)</f>
        <v>1.084761904761963E-2</v>
      </c>
      <c r="AW239" s="88">
        <f>IF($Z$3="yes", 0.0192519999999998/$X239, 0.0192519999999998)</f>
        <v>1.0186243386243281E-2</v>
      </c>
      <c r="AX239" s="88">
        <f>IF($Z$3="yes", 0.0348999999999997/$X239, 0.0348999999999997)</f>
        <v>1.846560846560831E-2</v>
      </c>
      <c r="AY239" s="88">
        <f>IF($Z$3="yes", 0.018450000000002/$X239, 0.018450000000002)</f>
        <v>9.7619047619058198E-3</v>
      </c>
      <c r="AZ239" s="88">
        <f>IF($Z$3="yes", 0.0502000000000022/$X239, 0.0502000000000022)</f>
        <v>2.6560846560847728E-2</v>
      </c>
      <c r="BA239" s="88">
        <f>IF($Z$3="yes", 0.0489500000000007/$X239, 0.0489500000000007)</f>
        <v>2.5899470899471273E-2</v>
      </c>
      <c r="BB239" s="88">
        <f>IF($Z$3="yes", 0.0533500000000017/$X239, 0.0533500000000017)</f>
        <v>2.8227513227514128E-2</v>
      </c>
      <c r="BC239" s="88">
        <f>IF($Z$3="yes", 0.0851000000000021/$X239, 0.0851000000000021)</f>
        <v>4.5026455026456143E-2</v>
      </c>
      <c r="BD239" s="88">
        <f>IF($Z$3="yes", 0.0838500000000004/$X239, 0.0838500000000004)</f>
        <v>4.4365079365079579E-2</v>
      </c>
      <c r="BE239" s="88">
        <f>IF($Z$3="yes", 0.0317500000000001/$X239, 0.0317500000000001)</f>
        <v>1.6798941798941851E-2</v>
      </c>
      <c r="BF239" s="88">
        <f>IF($Z$3="yes", 0.0304999999999986/$X239, 0.0304999999999986)</f>
        <v>1.6137566137565399E-2</v>
      </c>
      <c r="BG239" s="88">
        <f>IF($Z$3="yes", 0.00125000000000108/$X239, 0.00125000000000108)</f>
        <v>6.6137566137623293E-4</v>
      </c>
      <c r="BH239" s="88">
        <f>IF($Z$3="yes", 0.216473714285714/$X239, 0.216473714285714)</f>
        <v>0.11453635676492804</v>
      </c>
      <c r="BI239" s="68"/>
      <c r="BJ239" s="68"/>
      <c r="BK239" s="68">
        <f>IF($BL$3="yes", MAX(0, (286551 - 251320.4) / 64399.4106140731), 251320.4)</f>
        <v>251320.4</v>
      </c>
      <c r="BL239" s="68">
        <f>IF($BL$3="yes", MAX(0, (286551 - 282055.9) / 104402.015199372), 282055.9)</f>
        <v>282055.90000000002</v>
      </c>
      <c r="BM239" s="68">
        <f>IF($BL$3="yes", MAX(0, (286551 - 255860.05) / 96380.3433582154), 255860.05)</f>
        <v>255860.05</v>
      </c>
      <c r="BN239" s="68">
        <f>IF($BL$3="yes", MAX(0, (286551 - 464807.52) / 396932.925921105), 464807.52)</f>
        <v>464807.52</v>
      </c>
      <c r="BO239" s="68">
        <f>IF($BL$3="yes", MAX(0, (286551 - 1514054.43) / 8327311.93429701), 1514054.43)</f>
        <v>1514054.43</v>
      </c>
      <c r="BP239" s="68">
        <f>IF($BL$3="yes", MAX(0, (286551 - 895810.41) / 5932344.6670901), 895810.41)</f>
        <v>895810.41</v>
      </c>
      <c r="BQ239" s="68">
        <v>47.138444729779799</v>
      </c>
      <c r="BR239" s="68"/>
      <c r="BS239" s="68"/>
      <c r="BT239" s="68">
        <v>-67690297.288486272</v>
      </c>
      <c r="BU239" s="68">
        <v>23769.438534289598</v>
      </c>
      <c r="BV239" s="68">
        <f>IF($Z$3="yes", 0.110425448574269/$X239, 0.110425448574269)</f>
        <v>5.8426163266809002E-2</v>
      </c>
      <c r="BW239" s="68">
        <f>IF($Z$3="yes", 0.15889292983743/$X239, 0.15889292983743)</f>
        <v>8.4070333247317469E-2</v>
      </c>
      <c r="BX239" s="68">
        <f>$BW$120 - $BV$120</f>
        <v>3.4492539490434584E-2</v>
      </c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81"/>
      <c r="CR239" s="81"/>
      <c r="CS239" s="68"/>
      <c r="CT239" s="68"/>
      <c r="CU239" s="68"/>
    </row>
    <row r="240" spans="1:99" ht="15.75" customHeight="1" thickBot="1" x14ac:dyDescent="0.3">
      <c r="A240" s="84" t="s">
        <v>194</v>
      </c>
      <c r="B240" s="67" t="s">
        <v>128</v>
      </c>
      <c r="C240" s="83" t="s">
        <v>600</v>
      </c>
      <c r="D240" s="67" t="s">
        <v>606</v>
      </c>
      <c r="E240" s="67">
        <v>1</v>
      </c>
      <c r="F240" s="85">
        <v>2.42</v>
      </c>
      <c r="G240" s="313">
        <v>44210</v>
      </c>
      <c r="H240" s="317">
        <v>1.2</v>
      </c>
      <c r="I240" s="85">
        <v>3.4</v>
      </c>
      <c r="J240" s="313">
        <v>44236</v>
      </c>
      <c r="K240" s="125">
        <f t="shared" si="8"/>
        <v>-0.50413223140495866</v>
      </c>
      <c r="L240" s="96">
        <f t="shared" si="9"/>
        <v>0.4049586776859504</v>
      </c>
      <c r="M240" s="312">
        <v>44407</v>
      </c>
      <c r="N240" s="68"/>
      <c r="O240" s="291">
        <v>16052617</v>
      </c>
      <c r="P240" s="291">
        <v>14450000</v>
      </c>
      <c r="Q240" s="291">
        <v>23</v>
      </c>
      <c r="R240" s="68" t="s">
        <v>131</v>
      </c>
      <c r="S240" s="68" t="s">
        <v>529</v>
      </c>
      <c r="T240" s="68" t="s">
        <v>607</v>
      </c>
      <c r="U240" s="68">
        <v>28</v>
      </c>
      <c r="V240" s="68">
        <v>608632</v>
      </c>
      <c r="W240" s="68"/>
      <c r="X240" s="68">
        <v>2.36</v>
      </c>
      <c r="Y240" s="68">
        <v>1.8271055</v>
      </c>
      <c r="Z240" s="68">
        <v>1.883621999999999</v>
      </c>
      <c r="AA240" s="68">
        <v>2.2048660000000009</v>
      </c>
      <c r="AB240" s="68">
        <v>2.2180660000000012</v>
      </c>
      <c r="AC240" s="68">
        <v>2.281000000000001</v>
      </c>
      <c r="AD240" s="68">
        <v>2.269285714285711</v>
      </c>
      <c r="AE240" s="68">
        <v>2.3074999999999992</v>
      </c>
      <c r="AF240" s="68">
        <f>IF($Z$3="yes", 0.00272966826670665/$X240, 0.00272966826670665)</f>
        <v>1.1566390960621399E-3</v>
      </c>
      <c r="AG240" s="68">
        <f>IF($Z$3="yes", 0.0136857173717372/$X240, 0.0136857173717372)</f>
        <v>5.7990327846344069E-3</v>
      </c>
      <c r="AH240" s="68">
        <f>IF($Z$3="yes", 0.00736646818727453/$X240, 0.00736646818727453)</f>
        <v>3.1213848251163264E-3</v>
      </c>
      <c r="AI240" s="68">
        <f>IF($Z$3="yes", 0.00156603601440543/$X240, 0.00156603601440543)</f>
        <v>6.6357458237518226E-4</v>
      </c>
      <c r="AJ240" s="68">
        <f>IF($Z$3="yes", 0.000150375939847435/$X240, 0.000150375939847435)</f>
        <v>6.3718618579421615E-5</v>
      </c>
      <c r="AK240" s="68">
        <f>IF($Z$3="yes", 0.00679120879121125/$X240, 0.00679120879121125)</f>
        <v>2.8776308437335808E-3</v>
      </c>
      <c r="AL240" s="68">
        <f>IF($Z$3="yes", -0.00452380952380946/$X240, -0.00452380952380946)</f>
        <v>-1.9168684422921443E-3</v>
      </c>
      <c r="AM240" s="68">
        <f>IF($Z$3="yes", 0.0565164999999989/$X240, 0.0565164999999989)</f>
        <v>2.3947669491524961E-2</v>
      </c>
      <c r="AN240" s="68">
        <f>IF($Z$3="yes", 0.3777605/$X240, 0.3777605)</f>
        <v>0.16006800847457628</v>
      </c>
      <c r="AO240" s="68">
        <f>IF($Z$3="yes", 0.390960500000001/$X240, 0.390960500000001)</f>
        <v>0.16566122881355974</v>
      </c>
      <c r="AP240" s="68">
        <f>IF($Z$3="yes", 0.453894500000001/$X240, 0.453894500000001)</f>
        <v>0.19232817796610213</v>
      </c>
      <c r="AQ240" s="68">
        <f>IF($Z$3="yes", 0.442180214285711/$X240, 0.442180214285711)</f>
        <v>0.18736449757869111</v>
      </c>
      <c r="AR240" s="68">
        <f>IF($Z$3="yes", 0.480394499999999/$X240, 0.480394499999999)</f>
        <v>0.20355699152542331</v>
      </c>
      <c r="AS240" s="68">
        <f>IF($Z$3="yes", 0.321244000000002/$X240, 0.321244000000002)</f>
        <v>0.1361203389830517</v>
      </c>
      <c r="AT240" s="68">
        <f>IF($Z$3="yes", 0.334444000000002/$X240, 0.334444000000002)</f>
        <v>0.14171355932203475</v>
      </c>
      <c r="AU240" s="88">
        <f>IF($Z$3="yes", 0.397378000000002/$X240, 0.397378000000002)</f>
        <v>0.16838050847457714</v>
      </c>
      <c r="AV240" s="88">
        <f>IF($Z$3="yes", 0.385663714285712/$X240, 0.385663714285712)</f>
        <v>0.16341682808716612</v>
      </c>
      <c r="AW240" s="88">
        <f>IF($Z$3="yes", 0.423878/$X240, 0.423878)</f>
        <v>0.17960932203389832</v>
      </c>
      <c r="AX240" s="88">
        <f>IF($Z$3="yes", 0.0131999999999998/$X240, 0.0131999999999998)</f>
        <v>5.593220338982967E-3</v>
      </c>
      <c r="AY240" s="88">
        <f>IF($Z$3="yes", 0.0629340000000002/$X240, 0.0629340000000002)</f>
        <v>2.6666949152542457E-2</v>
      </c>
      <c r="AZ240" s="88">
        <f>IF($Z$3="yes", 0.0512197142857102/$X240, 0.0512197142857102)</f>
        <v>2.1703268765131442E-2</v>
      </c>
      <c r="BA240" s="88">
        <f>IF($Z$3="yes", 0.0894339999999984/$X240, 0.0894339999999984)</f>
        <v>3.7895762711863734E-2</v>
      </c>
      <c r="BB240" s="88">
        <f>IF($Z$3="yes", 0.0761340000000001/$X240, 0.0761340000000001)</f>
        <v>3.2260169491525471E-2</v>
      </c>
      <c r="BC240" s="88">
        <f>IF($Z$3="yes", 0.0644197142857105/$X240, 0.0644197142857105)</f>
        <v>2.729648910411462E-2</v>
      </c>
      <c r="BD240" s="88">
        <f>IF($Z$3="yes", 0.102633999999998/$X240, 0.102633999999998)</f>
        <v>4.3488983050846614E-2</v>
      </c>
      <c r="BE240" s="88">
        <f>IF($Z$3="yes", 0.0117142857142895/$X240, 0.0117142857142895)</f>
        <v>4.9636803874108055E-3</v>
      </c>
      <c r="BF240" s="88">
        <f>IF($Z$3="yes", 0.0264999999999981/$X240, 0.0264999999999981)</f>
        <v>1.1228813559321231E-2</v>
      </c>
      <c r="BG240" s="88">
        <f>IF($Z$3="yes", 0.0382142857142877/$X240, 0.0382142857142877)</f>
        <v>1.6192493946732077E-2</v>
      </c>
      <c r="BH240" s="88">
        <f>IF($Z$3="yes", 0.328354625850339/$X240, 0.328354625850339)</f>
        <v>0.13913331603827925</v>
      </c>
      <c r="BI240" s="68"/>
      <c r="BJ240" s="68"/>
      <c r="BK240" s="68">
        <f>IF($BL$3="yes", MAX(0, (608632 - 198696) / 206736.340409711), 198696)</f>
        <v>198696</v>
      </c>
      <c r="BL240" s="68">
        <f>IF($BL$3="yes", MAX(0, (608632 - 153636.7) / 159297.810701873), 153636.7)</f>
        <v>153636.70000000001</v>
      </c>
      <c r="BM240" s="68">
        <f>IF($BL$3="yes", MAX(0, (608632 - 115275.05) / 122843.050652641), 115275.05)</f>
        <v>115275.05</v>
      </c>
      <c r="BN240" s="68">
        <f>IF($BL$3="yes", MAX(0, (608632 - 200715.62) / 302391.846920242), 200715.62)</f>
        <v>200715.62</v>
      </c>
      <c r="BO240" s="68">
        <f>IF($BL$3="yes", MAX(0, (608632 - 1601945.03) / 13676199.4796433), 1601945.03)</f>
        <v>1601945.03</v>
      </c>
      <c r="BP240" s="68">
        <f>IF($BL$3="yes", MAX(0, (608632 - 807736.205) / 9703093.56982165), 807736.205)</f>
        <v>807736.20499999996</v>
      </c>
      <c r="BQ240" s="68">
        <v>54.433100767177883</v>
      </c>
      <c r="BR240" s="68"/>
      <c r="BS240" s="68"/>
      <c r="BT240" s="68">
        <v>-82328320.995678097</v>
      </c>
      <c r="BU240" s="68">
        <v>38163.162401422858</v>
      </c>
      <c r="BV240" s="68">
        <f>IF($Z$3="yes", 0.196601804118785/$X240, 0.196601804118785)</f>
        <v>8.330584920287501E-2</v>
      </c>
      <c r="BW240" s="68">
        <f>IF($Z$3="yes", 0.301171584089279/$X240, 0.301171584089279)</f>
        <v>0.12761507800393179</v>
      </c>
      <c r="BX240" s="68">
        <f>$BW$123 - $BV$123</f>
        <v>6.3163787726256734E-2</v>
      </c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  <c r="CQ240" s="81"/>
      <c r="CR240" s="81"/>
      <c r="CS240" s="68"/>
      <c r="CT240" s="68"/>
      <c r="CU240" s="68"/>
    </row>
    <row r="241" spans="1:99" ht="15.75" customHeight="1" thickBot="1" x14ac:dyDescent="0.3">
      <c r="A241" s="84" t="s">
        <v>194</v>
      </c>
      <c r="B241" s="67" t="s">
        <v>128</v>
      </c>
      <c r="C241" s="83" t="s">
        <v>600</v>
      </c>
      <c r="D241" s="67" t="s">
        <v>608</v>
      </c>
      <c r="E241" s="67">
        <v>2</v>
      </c>
      <c r="F241" s="85">
        <v>1.06</v>
      </c>
      <c r="G241" s="313">
        <v>44210</v>
      </c>
      <c r="H241" s="317">
        <v>1.36</v>
      </c>
      <c r="I241" s="85">
        <v>2.09</v>
      </c>
      <c r="J241" s="313">
        <v>44239</v>
      </c>
      <c r="K241" s="131">
        <f t="shared" si="8"/>
        <v>0.28301886792452824</v>
      </c>
      <c r="L241" s="241">
        <f t="shared" si="9"/>
        <v>0.97169811320754684</v>
      </c>
      <c r="M241" s="312">
        <v>44407</v>
      </c>
      <c r="N241" s="68"/>
      <c r="O241" s="291">
        <v>18004904</v>
      </c>
      <c r="P241" s="291">
        <v>16000000</v>
      </c>
      <c r="Q241" s="291">
        <v>26</v>
      </c>
      <c r="R241" s="68" t="s">
        <v>131</v>
      </c>
      <c r="S241" s="68" t="s">
        <v>479</v>
      </c>
      <c r="T241" s="68" t="s">
        <v>313</v>
      </c>
      <c r="U241" s="68">
        <v>180</v>
      </c>
      <c r="V241" s="68">
        <v>513272</v>
      </c>
      <c r="W241" s="68"/>
      <c r="X241" s="68">
        <v>0.95409999999999995</v>
      </c>
      <c r="Y241" s="68">
        <v>0.74436100000000072</v>
      </c>
      <c r="Z241" s="68">
        <v>0.72975200000000029</v>
      </c>
      <c r="AA241" s="68">
        <v>0.87608999999999981</v>
      </c>
      <c r="AB241" s="68">
        <v>0.83456399999999986</v>
      </c>
      <c r="AC241" s="68">
        <v>0.9159549999999993</v>
      </c>
      <c r="AD241" s="68">
        <v>0.91374999999999995</v>
      </c>
      <c r="AE241" s="68">
        <v>0.92160000000000031</v>
      </c>
      <c r="AF241" s="68">
        <f>IF($Z$3="yes", 0.000288279156978964/$X241, 0.000288279156978964)</f>
        <v>3.0214773816053249E-4</v>
      </c>
      <c r="AG241" s="68">
        <f>IF($Z$3="yes", 0.00593400180018/$X241, 0.00593400180018)</f>
        <v>6.2194757364846453E-3</v>
      </c>
      <c r="AH241" s="68">
        <f>IF($Z$3="yes", 0.00465895318127249/$X241, 0.00465895318127249)</f>
        <v>4.8830868685384027E-3</v>
      </c>
      <c r="AI241" s="68">
        <f>IF($Z$3="yes", 0.00667924129651853/$X241, 0.00667924129651853)</f>
        <v>7.0005673373006293E-3</v>
      </c>
      <c r="AJ241" s="68">
        <f>IF($Z$3="yes", 0.000789248120301082/$X241, 0.000789248120301082)</f>
        <v>8.2721739891110163E-4</v>
      </c>
      <c r="AK241" s="68">
        <f>IF($Z$3="yes", 0.00314571428571563/$X241, 0.00314571428571563)</f>
        <v>3.2970488268689131E-3</v>
      </c>
      <c r="AL241" s="68">
        <f>IF($Z$3="yes", 0.00793571428571431/$X241, 0.00793571428571431)</f>
        <v>8.3174869360804014E-3</v>
      </c>
      <c r="AM241" s="68">
        <f>IF($Z$3="yes", 0.0146090000000004/$X241, 0.0146090000000004)</f>
        <v>1.5311812179017293E-2</v>
      </c>
      <c r="AN241" s="68">
        <f>IF($Z$3="yes", 0.131728999999999/$X241, 0.131728999999999)</f>
        <v>0.13806624043601198</v>
      </c>
      <c r="AO241" s="68">
        <f>IF($Z$3="yes", 0.0902029999999991/$X241, 0.0902029999999991)</f>
        <v>9.4542500786080189E-2</v>
      </c>
      <c r="AP241" s="68">
        <f>IF($Z$3="yes", 0.171593999999998/$X241, 0.171593999999998)</f>
        <v>0.17984907242427209</v>
      </c>
      <c r="AQ241" s="68">
        <f>IF($Z$3="yes", 0.169388999999999/$X241, 0.169388999999999)</f>
        <v>0.17753799392097161</v>
      </c>
      <c r="AR241" s="68">
        <f>IF($Z$3="yes", 0.177238999999999/$X241, 0.177238999999999)</f>
        <v>0.18576564301435805</v>
      </c>
      <c r="AS241" s="68">
        <f>IF($Z$3="yes", 0.146337999999999/$X241, 0.146337999999999)</f>
        <v>0.15337805261502882</v>
      </c>
      <c r="AT241" s="68">
        <f>IF($Z$3="yes", 0.104811999999999/$X241, 0.104811999999999)</f>
        <v>0.10985431296509696</v>
      </c>
      <c r="AU241" s="88">
        <f>IF($Z$3="yes", 0.186202999999999/$X241, 0.186202999999999)</f>
        <v>0.19516088460329004</v>
      </c>
      <c r="AV241" s="88">
        <f>IF($Z$3="yes", 0.183997999999999/$X241, 0.183997999999999)</f>
        <v>0.19284980609998847</v>
      </c>
      <c r="AW241" s="88">
        <f>IF($Z$3="yes", 0.191848/$X241, 0.191848)</f>
        <v>0.20107745519337597</v>
      </c>
      <c r="AX241" s="88">
        <f>IF($Z$3="yes", 0.0415259999999999/$X241, 0.0415259999999999)</f>
        <v>4.3523739649931774E-2</v>
      </c>
      <c r="AY241" s="88">
        <f>IF($Z$3="yes", 0.0813909999999994/$X241, 0.0813909999999994)</f>
        <v>8.5306571638192427E-2</v>
      </c>
      <c r="AZ241" s="88">
        <f>IF($Z$3="yes", 0.079186/$X241, 0.079186)</f>
        <v>8.2995493134891532E-2</v>
      </c>
      <c r="BA241" s="88">
        <f>IF($Z$3="yes", 0.0870360000000004/$X241, 0.0870360000000004)</f>
        <v>9.1223142228278389E-2</v>
      </c>
      <c r="BB241" s="88">
        <f>IF($Z$3="yes", 0.0398649999999994/$X241, 0.0398649999999994)</f>
        <v>4.1782831988260563E-2</v>
      </c>
      <c r="BC241" s="88">
        <f>IF($Z$3="yes", 0.0376600000000001/$X241, 0.0376600000000001)</f>
        <v>3.9471753484959758E-2</v>
      </c>
      <c r="BD241" s="88">
        <f>IF($Z$3="yes", 0.0455100000000004/$X241, 0.0455100000000004)</f>
        <v>4.7699402578346504E-2</v>
      </c>
      <c r="BE241" s="88">
        <f>IF($Z$3="yes", 0.00220499999999934/$X241, 0.00220499999999934)</f>
        <v>2.3110785033008487E-3</v>
      </c>
      <c r="BF241" s="88">
        <f>IF($Z$3="yes", 0.00564500000000101/$X241, 0.00564500000000101)</f>
        <v>5.9165705900859561E-3</v>
      </c>
      <c r="BG241" s="88">
        <f>IF($Z$3="yes", 0.00785000000000035/$X241, 0.00785000000000035)</f>
        <v>8.2276490933868053E-3</v>
      </c>
      <c r="BH241" s="88">
        <f>IF($Z$3="yes", 0.131174952380952/$X241, 0.131174952380952)</f>
        <v>0.13748553860282151</v>
      </c>
      <c r="BI241" s="68"/>
      <c r="BJ241" s="68"/>
      <c r="BK241" s="68">
        <f>IF($BL$3="yes", MAX(0, (513272 - 924006.4) / 810924.826236711), 924006.4)</f>
        <v>924006.40000000002</v>
      </c>
      <c r="BL241" s="68">
        <f>IF($BL$3="yes", MAX(0, (513272 - 880141.9) / 873011.684521513), 880141.9)</f>
        <v>880141.9</v>
      </c>
      <c r="BM241" s="68">
        <f>IF($BL$3="yes", MAX(0, (513272 - 939535) / 1072033.23368573), 939535)</f>
        <v>939535</v>
      </c>
      <c r="BN241" s="68">
        <f>IF($BL$3="yes", MAX(0, (513272 - 1132318.66) / 1242545.48252801), 1132318.66)</f>
        <v>1132318.6599999999</v>
      </c>
      <c r="BO241" s="68">
        <f>IF($BL$3="yes", MAX(0, (513272 - 1695587.1) / 6719560.69055242), 1695587.1)</f>
        <v>1695587.1</v>
      </c>
      <c r="BP241" s="68">
        <f>IF($BL$3="yes", MAX(0, (513272 - 1024799.885) / 4808976.30658293), 1024799.885)</f>
        <v>1024799.885</v>
      </c>
      <c r="BQ241" s="68">
        <v>54.61472564421269</v>
      </c>
      <c r="BR241" s="68"/>
      <c r="BS241" s="68"/>
      <c r="BT241" s="68">
        <v>-51131425.205746517</v>
      </c>
      <c r="BU241" s="68">
        <v>-507053.61737146968</v>
      </c>
      <c r="BV241" s="68">
        <f>IF($Z$3="yes", 0.083279419651163/$X241, 0.083279419651163)</f>
        <v>8.7285839693075157E-2</v>
      </c>
      <c r="BW241" s="68">
        <f>IF($Z$3="yes", 0.103534269667593/$X241, 0.103534269667593)</f>
        <v>0.1085151133713374</v>
      </c>
      <c r="BX241" s="68">
        <f>$BW$126 - $BV$126</f>
        <v>0.10007701525493237</v>
      </c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81"/>
      <c r="CR241" s="81"/>
      <c r="CS241" s="68"/>
      <c r="CT241" s="68"/>
      <c r="CU241" s="68"/>
    </row>
    <row r="242" spans="1:99" ht="15.75" customHeight="1" thickBot="1" x14ac:dyDescent="0.3">
      <c r="A242" s="84" t="s">
        <v>194</v>
      </c>
      <c r="B242" s="67" t="s">
        <v>128</v>
      </c>
      <c r="C242" s="83" t="s">
        <v>600</v>
      </c>
      <c r="D242" s="67" t="s">
        <v>518</v>
      </c>
      <c r="E242" s="67">
        <v>1</v>
      </c>
      <c r="F242" s="85">
        <v>1.01</v>
      </c>
      <c r="G242" s="313">
        <v>44210</v>
      </c>
      <c r="H242" s="317">
        <v>1.22</v>
      </c>
      <c r="I242" s="85">
        <v>1.93</v>
      </c>
      <c r="J242" s="313">
        <v>44355</v>
      </c>
      <c r="K242" s="139">
        <f t="shared" si="8"/>
        <v>0.20792079207920788</v>
      </c>
      <c r="L242" s="147">
        <f t="shared" si="9"/>
        <v>0.91089108910891081</v>
      </c>
      <c r="M242" s="312">
        <v>44407</v>
      </c>
      <c r="N242" s="68"/>
      <c r="O242" s="291">
        <v>30541255</v>
      </c>
      <c r="P242" s="291">
        <v>31220000</v>
      </c>
      <c r="Q242" s="291">
        <v>142</v>
      </c>
      <c r="R242" s="68" t="s">
        <v>152</v>
      </c>
      <c r="S242" s="68" t="s">
        <v>148</v>
      </c>
      <c r="T242" s="68" t="s">
        <v>504</v>
      </c>
      <c r="U242" s="68">
        <v>204</v>
      </c>
      <c r="V242" s="68">
        <v>1529087</v>
      </c>
      <c r="W242" s="68"/>
      <c r="X242" s="68">
        <v>0.98899999999999999</v>
      </c>
      <c r="Y242" s="68">
        <v>1.192078500000002</v>
      </c>
      <c r="Z242" s="68">
        <v>0.84605899999999978</v>
      </c>
      <c r="AA242" s="68">
        <v>0.86005399999999987</v>
      </c>
      <c r="AB242" s="68">
        <v>0.86699599999999966</v>
      </c>
      <c r="AC242" s="68">
        <v>0.92460999999999904</v>
      </c>
      <c r="AD242" s="68">
        <v>0.94057857142857182</v>
      </c>
      <c r="AE242" s="68">
        <v>0.93916249999999979</v>
      </c>
      <c r="AF242" s="68">
        <f>IF($Z$3="yes", -0.00611720325508148/$X242, -0.00611720325508148)</f>
        <v>-6.1852409050368855E-3</v>
      </c>
      <c r="AG242" s="68">
        <f>IF($Z$3="yes", 0.000732071407140754/$X242, 0.000732071407140754)</f>
        <v>7.4021375848407891E-4</v>
      </c>
      <c r="AH242" s="68">
        <f>IF($Z$3="yes", 0.00347260024009596/$X242, 0.00347260024009596)</f>
        <v>3.511223700804813E-3</v>
      </c>
      <c r="AI242" s="68">
        <f>IF($Z$3="yes", -0.00115466986794719/$X242, -0.00115466986794719)</f>
        <v>-1.1675125055077755E-3</v>
      </c>
      <c r="AJ242" s="68">
        <f>IF($Z$3="yes", 0.00444541353383494/$X242, 0.00444541353383494)</f>
        <v>4.4948569603993332E-3</v>
      </c>
      <c r="AK242" s="68">
        <f>IF($Z$3="yes", 0.00253472527472736/$X242, 0.00253472527472736)</f>
        <v>2.5629173657506169E-3</v>
      </c>
      <c r="AL242" s="68">
        <f>IF($Z$3="yes", 0.0152845238095238/$X242, 0.0152845238095238)</f>
        <v>1.5454523568780385E-2</v>
      </c>
      <c r="AM242" s="68">
        <f>IF($Z$3="yes", 0.346019500000001/$X242, 0.346019500000001)</f>
        <v>0.3498680485338736</v>
      </c>
      <c r="AN242" s="68">
        <f>IF($Z$3="yes", 0.332024500000001/$X242, 0.332024500000001)</f>
        <v>0.33571739130434886</v>
      </c>
      <c r="AO242" s="68">
        <f>IF($Z$3="yes", 0.325082500000001/$X242, 0.325082500000001)</f>
        <v>0.32869817997977857</v>
      </c>
      <c r="AP242" s="68">
        <f>IF($Z$3="yes", 0.267468500000002/$X242, 0.267468500000002)</f>
        <v>0.27044337714863703</v>
      </c>
      <c r="AQ242" s="68">
        <f>IF($Z$3="yes", 0.251499928571429/$X242, 0.251499928571429)</f>
        <v>0.25429719774664206</v>
      </c>
      <c r="AR242" s="68">
        <f>IF($Z$3="yes", 0.252916000000001/$X242, 0.252916000000001)</f>
        <v>0.25572901921132557</v>
      </c>
      <c r="AS242" s="68">
        <f>IF($Z$3="yes", 0.013995/$X242, 0.013995)</f>
        <v>1.4150657229524773E-2</v>
      </c>
      <c r="AT242" s="68">
        <f>IF($Z$3="yes", 0.0209369999999998/$X242, 0.0209369999999998)</f>
        <v>2.1169868554094844E-2</v>
      </c>
      <c r="AU242" s="88">
        <f>IF($Z$3="yes", 0.0785509999999992/$X242, 0.0785509999999992)</f>
        <v>7.9424671385236817E-2</v>
      </c>
      <c r="AV242" s="88">
        <f>IF($Z$3="yes", 0.094519571428572/$X242, 0.094519571428572)</f>
        <v>9.5570850787231543E-2</v>
      </c>
      <c r="AW242" s="88">
        <f>IF($Z$3="yes", 0.0931035/$X242, 0.0931035)</f>
        <v>9.4139029322548029E-2</v>
      </c>
      <c r="AX242" s="88">
        <f>IF($Z$3="yes", 0.00694199999999978/$X242, 0.00694199999999978)</f>
        <v>7.0192113245700506E-3</v>
      </c>
      <c r="AY242" s="88">
        <f>IF($Z$3="yes", 0.0576139999999993/$X242, 0.0576139999999993)</f>
        <v>5.8254802831141858E-2</v>
      </c>
      <c r="AZ242" s="88">
        <f>IF($Z$3="yes", 0.0735825714285721/$X242, 0.0735825714285721)</f>
        <v>7.4400982233136598E-2</v>
      </c>
      <c r="BA242" s="88">
        <f>IF($Z$3="yes", 0.0721665000000001/$X242, 0.0721665000000001)</f>
        <v>7.2969160768453084E-2</v>
      </c>
      <c r="BB242" s="88">
        <f>IF($Z$3="yes", 0.0645559999999991/$X242, 0.0645559999999991)</f>
        <v>6.5274014155711935E-2</v>
      </c>
      <c r="BC242" s="88">
        <f>IF($Z$3="yes", 0.0805245714285719/$X242, 0.0805245714285719)</f>
        <v>8.1420193557706674E-2</v>
      </c>
      <c r="BD242" s="88">
        <f>IF($Z$3="yes", 0.0791084999999999/$X242, 0.0791084999999999)</f>
        <v>7.9988372093023161E-2</v>
      </c>
      <c r="BE242" s="88">
        <f>IF($Z$3="yes", 0.0159685714285727/$X242, 0.0159685714285727)</f>
        <v>1.6146179401994639E-2</v>
      </c>
      <c r="BF242" s="88">
        <f>IF($Z$3="yes", 0.0145525000000007/$X242, 0.0145525000000007)</f>
        <v>1.4714357937311124E-2</v>
      </c>
      <c r="BG242" s="88">
        <f>IF($Z$3="yes", 0.00141607142857203/$X242, 0.00141607142857203)</f>
        <v>1.431821464683549E-3</v>
      </c>
      <c r="BH242" s="88">
        <f>IF($Z$3="yes", 0.154415207482993/$X242, 0.154415207482993)</f>
        <v>0.1561326668179909</v>
      </c>
      <c r="BI242" s="68"/>
      <c r="BJ242" s="68"/>
      <c r="BK242" s="68">
        <f>IF($BL$3="yes", MAX(0, (1529087 - 1718118) / 1111883.74306003), 1718118)</f>
        <v>1718118</v>
      </c>
      <c r="BL242" s="68">
        <f>IF($BL$3="yes", MAX(0, (1529087 - 1387451.7) / 922374.147340443), 1387451.7)</f>
        <v>1387451.7</v>
      </c>
      <c r="BM242" s="68">
        <f>IF($BL$3="yes", MAX(0, (1529087 - 1999664.55) / 2170955.7116306), 1999664.55)</f>
        <v>1999664.55</v>
      </c>
      <c r="BN242" s="68">
        <f>IF($BL$3="yes", MAX(0, (1529087 - 1268827.38) / 1705431.6830397), 1268827.38)</f>
        <v>1268827.3799999999</v>
      </c>
      <c r="BO242" s="68">
        <f>IF($BL$3="yes", MAX(0, (1529087 - 2250988.04) / 9439321.03750949), 2250988.04)</f>
        <v>2250988.04</v>
      </c>
      <c r="BP242" s="68">
        <f>IF($BL$3="yes", MAX(0, (1529087 - 1350415.185) / 6752434.12578356), 1350415.185)</f>
        <v>1350415.1850000001</v>
      </c>
      <c r="BQ242" s="68">
        <v>62.072411650462932</v>
      </c>
      <c r="BR242" s="68"/>
      <c r="BS242" s="68"/>
      <c r="BT242" s="68">
        <v>-64201016.68048843</v>
      </c>
      <c r="BU242" s="68">
        <v>152945.2744923085</v>
      </c>
      <c r="BV242" s="68">
        <f>IF($Z$3="yes", 0.0779532836695072/$X242, 0.0779532836695072)</f>
        <v>7.8820307047024474E-2</v>
      </c>
      <c r="BW242" s="68">
        <f>IF($Z$3="yes", 0.0858466848508642/$X242, 0.0858466848508642)</f>
        <v>8.6801501365888989E-2</v>
      </c>
      <c r="BX242" s="68">
        <f>$BW$125 - $BV$125</f>
        <v>8.8096150344619331E-2</v>
      </c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  <c r="CO242" s="68"/>
      <c r="CP242" s="68"/>
      <c r="CQ242" s="81"/>
      <c r="CR242" s="81"/>
      <c r="CS242" s="68"/>
      <c r="CT242" s="68"/>
      <c r="CU242" s="68"/>
    </row>
    <row r="243" spans="1:99" ht="15.75" customHeight="1" thickBot="1" x14ac:dyDescent="0.3">
      <c r="A243" s="84" t="s">
        <v>194</v>
      </c>
      <c r="B243" s="67" t="s">
        <v>128</v>
      </c>
      <c r="C243" s="83" t="s">
        <v>600</v>
      </c>
      <c r="D243" s="67" t="s">
        <v>196</v>
      </c>
      <c r="E243" s="67">
        <v>1</v>
      </c>
      <c r="F243" s="85">
        <v>0.89</v>
      </c>
      <c r="G243" s="313">
        <v>44210</v>
      </c>
      <c r="H243" s="317">
        <v>2.82</v>
      </c>
      <c r="I243" s="317">
        <v>6.75</v>
      </c>
      <c r="J243" s="313">
        <v>44379</v>
      </c>
      <c r="K243" s="125">
        <f t="shared" si="8"/>
        <v>2.1685393258426964</v>
      </c>
      <c r="L243" s="146">
        <f t="shared" si="9"/>
        <v>6.584269662921348</v>
      </c>
      <c r="M243" s="312">
        <v>44407</v>
      </c>
      <c r="N243" s="68"/>
      <c r="O243" s="291">
        <v>39166528</v>
      </c>
      <c r="P243" s="291">
        <v>33350000</v>
      </c>
      <c r="Q243" s="291">
        <v>169</v>
      </c>
      <c r="R243" s="68" t="s">
        <v>131</v>
      </c>
      <c r="S243" s="68" t="s">
        <v>157</v>
      </c>
      <c r="T243" s="67" t="s">
        <v>197</v>
      </c>
      <c r="U243" s="68">
        <v>1156</v>
      </c>
      <c r="V243" s="68">
        <v>5218495</v>
      </c>
      <c r="W243" s="68"/>
      <c r="X243" s="68">
        <v>0.91</v>
      </c>
      <c r="Y243" s="68">
        <v>0.79617049999999934</v>
      </c>
      <c r="Z243" s="68">
        <v>0.87927399999999956</v>
      </c>
      <c r="AA243" s="68">
        <v>0.97408400000000051</v>
      </c>
      <c r="AB243" s="68">
        <v>1.06047</v>
      </c>
      <c r="AC243" s="68">
        <v>0.8375899999999995</v>
      </c>
      <c r="AD243" s="68">
        <v>0.76709285714285735</v>
      </c>
      <c r="AE243" s="68">
        <v>0.8348875</v>
      </c>
      <c r="AF243" s="68">
        <f>IF($Z$3="yes", 0.00231683484587118/$X243, 0.00231683484587118)</f>
        <v>2.545972358100198E-3</v>
      </c>
      <c r="AG243" s="68">
        <f>IF($Z$3="yes", 0.00373000060006005/$X243, 0.00373000060006005)</f>
        <v>4.0989017583077476E-3</v>
      </c>
      <c r="AH243" s="68">
        <f>IF($Z$3="yes", -0.00742721728691498/$X243, -0.00742721728691498)</f>
        <v>-8.1617772383681102E-3</v>
      </c>
      <c r="AI243" s="68">
        <f>IF($Z$3="yes", -0.00812465306122462/$X243, -0.00812465306122462)</f>
        <v>-8.9281901771699115E-3</v>
      </c>
      <c r="AJ243" s="68">
        <f>IF($Z$3="yes", -0.00888466165413473/$X243, -0.00888466165413473)</f>
        <v>-9.7633644550931091E-3</v>
      </c>
      <c r="AK243" s="68">
        <f>IF($Z$3="yes", 0.0211540659340663/$X243, 0.0211540659340663)</f>
        <v>2.3246226301171756E-2</v>
      </c>
      <c r="AL243" s="68">
        <f>IF($Z$3="yes", 0.0209916666666666/$X243, 0.0209916666666666)</f>
        <v>2.3067765567765495E-2</v>
      </c>
      <c r="AM243" s="68">
        <f>IF($Z$3="yes", 0.0831035000000002/$X243, 0.0831035000000002)</f>
        <v>9.1322527472527698E-2</v>
      </c>
      <c r="AN243" s="68">
        <f>IF($Z$3="yes", 0.177913500000001/$X243, 0.177913500000001)</f>
        <v>0.19550934065934175</v>
      </c>
      <c r="AO243" s="68">
        <f>IF($Z$3="yes", 0.2642995/$X243, 0.2642995)</f>
        <v>0.29043901098901098</v>
      </c>
      <c r="AP243" s="68">
        <f>IF($Z$3="yes", 0.0414195000000001/$X243, 0.0414195000000001)</f>
        <v>4.5515934065934176E-2</v>
      </c>
      <c r="AQ243" s="68">
        <f>IF($Z$3="yes", 0.0290776428571419/$X243, 0.0290776428571419)</f>
        <v>3.1953453689166925E-2</v>
      </c>
      <c r="AR243" s="68">
        <f>IF($Z$3="yes", 0.0387170000000006/$X243, 0.0387170000000006)</f>
        <v>4.2546153846154504E-2</v>
      </c>
      <c r="AS243" s="68">
        <f>IF($Z$3="yes", 0.0948100000000009/$X243, 0.0948100000000009)</f>
        <v>0.10418681318681416</v>
      </c>
      <c r="AT243" s="68">
        <f>IF($Z$3="yes", 0.181196/$X243, 0.181196)</f>
        <v>0.19911648351648351</v>
      </c>
      <c r="AU243" s="88">
        <f>IF($Z$3="yes", 0.041684/$X243, 0.041684)</f>
        <v>4.5806593406593404E-2</v>
      </c>
      <c r="AV243" s="88">
        <f>IF($Z$3="yes", 0.112181142857142/$X243, 0.112181142857142)</f>
        <v>0.1232759811616945</v>
      </c>
      <c r="AW243" s="88">
        <f>IF($Z$3="yes", 0.0443864999999995/$X243, 0.0443864999999995)</f>
        <v>4.8776373626373076E-2</v>
      </c>
      <c r="AX243" s="88">
        <f>IF($Z$3="yes", 0.0863859999999999/$X243, 0.0863859999999999)</f>
        <v>9.4929670329670215E-2</v>
      </c>
      <c r="AY243" s="88">
        <f>IF($Z$3="yes", 0.22288/$X243, 0.22288)</f>
        <v>0.24492307692307691</v>
      </c>
      <c r="AZ243" s="88">
        <f>IF($Z$3="yes", 0.293377142857142/$X243, 0.293377142857142)</f>
        <v>0.322392464678178</v>
      </c>
      <c r="BA243" s="88">
        <f>IF($Z$3="yes", 0.2255825/$X243, 0.2255825)</f>
        <v>0.24789285714285714</v>
      </c>
      <c r="BB243" s="88">
        <f>IF($Z$3="yes", 0.136494000000001/$X243, 0.136494000000001)</f>
        <v>0.14999340659340768</v>
      </c>
      <c r="BC243" s="88">
        <f>IF($Z$3="yes", 0.206991142857143/$X243, 0.206991142857143)</f>
        <v>0.2274627943485088</v>
      </c>
      <c r="BD243" s="88">
        <f>IF($Z$3="yes", 0.1391965/$X243, 0.1391965)</f>
        <v>0.1529631868131868</v>
      </c>
      <c r="BE243" s="88">
        <f>IF($Z$3="yes", 0.0704971428571421/$X243, 0.0704971428571421)</f>
        <v>7.7469387755101218E-2</v>
      </c>
      <c r="BF243" s="88">
        <f>IF($Z$3="yes", 0.00270249999999949/$X243, 0.00270249999999949)</f>
        <v>2.9697802197796593E-3</v>
      </c>
      <c r="BG243" s="88">
        <f>IF($Z$3="yes", 0.0677946428571426/$X243, 0.0677946428571426)</f>
        <v>7.4499607535321533E-2</v>
      </c>
      <c r="BH243" s="88">
        <f>IF($Z$3="yes", 0.129825486394557/$X243, 0.129825486394557)</f>
        <v>0.14266536966434834</v>
      </c>
      <c r="BI243" s="68"/>
      <c r="BJ243" s="68"/>
      <c r="BK243" s="68">
        <f>IF($BL$3="yes", MAX(0, (5218495 - 5372793.2) / 1787417.08271633), 5372793.2)</f>
        <v>5372793.2000000002</v>
      </c>
      <c r="BL243" s="68">
        <f>IF($BL$3="yes", MAX(0, (5218495 - 4763721.6) / 1503149.51193992), 4763721.6)</f>
        <v>4763721.5999999996</v>
      </c>
      <c r="BM243" s="68">
        <f>IF($BL$3="yes", MAX(0, (5218495 - 4829774.2) / 6605336.5395494), 4829774.2)</f>
        <v>4829774.2</v>
      </c>
      <c r="BN243" s="68">
        <f>IF($BL$3="yes", MAX(0, (5218495 - 2248705.8) / 4689717.6776363), 2248705.8)</f>
        <v>2248705.7999999998</v>
      </c>
      <c r="BO243" s="68">
        <f>IF($BL$3="yes", MAX(0, (5218495 - 3192622.66) / 15658289.7547568), 3192622.66)</f>
        <v>3192622.66</v>
      </c>
      <c r="BP243" s="68">
        <f>IF($BL$3="yes", MAX(0, (5218495 - 1791555.385) / 11212787.6808749), 1791555.385)</f>
        <v>1791555.385</v>
      </c>
      <c r="BQ243" s="68">
        <v>53.021755522791317</v>
      </c>
      <c r="BR243" s="68"/>
      <c r="BS243" s="68"/>
      <c r="BT243" s="68">
        <v>-169611693.42286119</v>
      </c>
      <c r="BU243" s="68">
        <v>3152747.0936109419</v>
      </c>
      <c r="BV243" s="68">
        <f>IF($Z$3="yes", 0.100507703570094/$X243, 0.100507703570094)</f>
        <v>0.1104480259012022</v>
      </c>
      <c r="BW243" s="68">
        <f>IF($Z$3="yes", 0.13042043444793/$X243, 0.13042043444793)</f>
        <v>0.14331915873398901</v>
      </c>
      <c r="BX243" s="68">
        <f>$BW$127 - $BV$127</f>
        <v>0.26013612544935993</v>
      </c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  <c r="CQ243" s="81"/>
      <c r="CR243" s="81"/>
      <c r="CS243" s="68"/>
      <c r="CT243" s="68"/>
      <c r="CU243" s="68"/>
    </row>
    <row r="244" spans="1:99" ht="15.75" customHeight="1" thickBot="1" x14ac:dyDescent="0.3">
      <c r="A244" s="84"/>
      <c r="B244" s="67" t="s">
        <v>128</v>
      </c>
      <c r="C244" s="83" t="s">
        <v>600</v>
      </c>
      <c r="D244" s="67" t="s">
        <v>609</v>
      </c>
      <c r="E244" s="67">
        <v>1</v>
      </c>
      <c r="F244" s="85">
        <v>1.24</v>
      </c>
      <c r="G244" s="313">
        <v>44210</v>
      </c>
      <c r="H244" s="317">
        <v>2.02</v>
      </c>
      <c r="I244" s="317">
        <v>3.32</v>
      </c>
      <c r="J244" s="313">
        <v>44385</v>
      </c>
      <c r="K244" s="196">
        <f t="shared" si="8"/>
        <v>0.62903225806451624</v>
      </c>
      <c r="L244" s="235">
        <f t="shared" si="9"/>
        <v>1.6774193548387095</v>
      </c>
      <c r="M244" s="312">
        <v>44407</v>
      </c>
      <c r="N244" s="68"/>
      <c r="O244" s="291">
        <v>47371482</v>
      </c>
      <c r="P244" s="291">
        <v>45380000</v>
      </c>
      <c r="Q244" s="291">
        <v>175</v>
      </c>
      <c r="R244" s="68" t="s">
        <v>131</v>
      </c>
      <c r="S244" s="68" t="s">
        <v>148</v>
      </c>
      <c r="T244" s="68" t="s">
        <v>154</v>
      </c>
      <c r="U244" s="68">
        <v>112</v>
      </c>
      <c r="V244" s="68">
        <v>1881125</v>
      </c>
      <c r="W244" s="68"/>
      <c r="X244" s="68">
        <v>1.22</v>
      </c>
      <c r="Y244" s="68">
        <v>1.2309740000000009</v>
      </c>
      <c r="Z244" s="68">
        <v>1.384900000000002</v>
      </c>
      <c r="AA244" s="68">
        <v>1.3989999999999989</v>
      </c>
      <c r="AB244" s="68">
        <v>1.436599999999999</v>
      </c>
      <c r="AC244" s="68">
        <v>1.073</v>
      </c>
      <c r="AD244" s="68">
        <v>1.0892857142857131</v>
      </c>
      <c r="AE244" s="68">
        <v>1.1499999999999999</v>
      </c>
      <c r="AF244" s="68">
        <f>IF($Z$3="yes", 0.00366477881947045/$X244, 0.00366477881947045)</f>
        <v>3.0039170651397131E-3</v>
      </c>
      <c r="AG244" s="68">
        <f>IF($Z$3="yes", -0.00100936093609379/$X244, -0.00100936093609379)</f>
        <v>-8.2734502958507392E-4</v>
      </c>
      <c r="AH244" s="68">
        <f>IF($Z$3="yes", -0.0113128451380548/$X244, -0.0113128451380548)</f>
        <v>-9.2728238836514761E-3</v>
      </c>
      <c r="AI244" s="68">
        <f>IF($Z$3="yes", -0.00188475390156026/$X244, -0.00188475390156026)</f>
        <v>-1.544880247180541E-3</v>
      </c>
      <c r="AJ244" s="68">
        <f>IF($Z$3="yes", 0.00983458646616686/$X244, 0.00983458646616686)</f>
        <v>8.0611364476777542E-3</v>
      </c>
      <c r="AK244" s="68">
        <f>IF($Z$3="yes", 0.0185274725274745/$X244, 0.0185274725274745)</f>
        <v>1.5186452891372543E-2</v>
      </c>
      <c r="AL244" s="68">
        <f>IF($Z$3="yes", 0.0204761904761902/$X244, 0.0204761904761902)</f>
        <v>1.6783762685401805E-2</v>
      </c>
      <c r="AM244" s="68">
        <f>IF($Z$3="yes", 0.153926000000001/$X244, 0.153926000000001)</f>
        <v>0.12616885245901721</v>
      </c>
      <c r="AN244" s="68">
        <f>IF($Z$3="yes", 0.168025999999998/$X244, 0.168025999999998)</f>
        <v>0.1377262295081951</v>
      </c>
      <c r="AO244" s="68">
        <f>IF($Z$3="yes", 0.205625999999998/$X244, 0.205625999999998)</f>
        <v>0.16854590163934263</v>
      </c>
      <c r="AP244" s="68">
        <f>IF($Z$3="yes", 0.157974/$X244, 0.157974)</f>
        <v>0.12948688524590166</v>
      </c>
      <c r="AQ244" s="68">
        <f>IF($Z$3="yes", 0.141688285714287/$X244, 0.141688285714287)</f>
        <v>0.11613793911007131</v>
      </c>
      <c r="AR244" s="68">
        <f>IF($Z$3="yes", 0.0809740000000007/$X244, 0.0809740000000007)</f>
        <v>6.6372131147541563E-2</v>
      </c>
      <c r="AS244" s="68">
        <f>IF($Z$3="yes", 0.0140999999999973/$X244, 0.0140999999999973)</f>
        <v>1.1557377049178115E-2</v>
      </c>
      <c r="AT244" s="68">
        <f>IF($Z$3="yes", 0.0516999999999976/$X244, 0.0516999999999976)</f>
        <v>4.2377049180325907E-2</v>
      </c>
      <c r="AU244" s="88">
        <f>IF($Z$3="yes", 0.311900000000001/$X244, 0.311900000000001)</f>
        <v>0.25565573770491884</v>
      </c>
      <c r="AV244" s="88">
        <f>IF($Z$3="yes", 0.295614285714288/$X244, 0.295614285714288)</f>
        <v>0.24230679156908852</v>
      </c>
      <c r="AW244" s="88">
        <f>IF($Z$3="yes", 0.234900000000001/$X244, 0.234900000000001)</f>
        <v>0.19254098360655819</v>
      </c>
      <c r="AX244" s="88">
        <f>IF($Z$3="yes", 0.0376000000000003/$X244, 0.0376000000000003)</f>
        <v>3.0819672131147786E-2</v>
      </c>
      <c r="AY244" s="88">
        <f>IF($Z$3="yes", 0.363599999999998/$X244, 0.363599999999998)</f>
        <v>0.29803278688524426</v>
      </c>
      <c r="AZ244" s="88">
        <f>IF($Z$3="yes", 0.347314285714285/$X244, 0.347314285714285)</f>
        <v>0.28468384074941394</v>
      </c>
      <c r="BA244" s="88">
        <f>IF($Z$3="yes", 0.286599999999999/$X244, 0.286599999999999)</f>
        <v>0.23491803278688445</v>
      </c>
      <c r="BB244" s="88">
        <f>IF($Z$3="yes", 0.325999999999998/$X244, 0.325999999999998)</f>
        <v>0.26721311475409676</v>
      </c>
      <c r="BC244" s="88">
        <f>IF($Z$3="yes", 0.309714285714285/$X244, 0.309714285714285)</f>
        <v>0.25386416861826638</v>
      </c>
      <c r="BD244" s="88">
        <f>IF($Z$3="yes", 0.248999999999999/$X244, 0.248999999999999)</f>
        <v>0.20409836065573689</v>
      </c>
      <c r="BE244" s="88">
        <f>IF($Z$3="yes", 0.0162857142857131/$X244, 0.0162857142857131)</f>
        <v>1.334894613583041E-2</v>
      </c>
      <c r="BF244" s="88">
        <f>IF($Z$3="yes", 0.0769999999999995/$X244, 0.0769999999999995)</f>
        <v>6.3114754098360246E-2</v>
      </c>
      <c r="BG244" s="88">
        <f>IF($Z$3="yes", 0.0607142857142868/$X244, 0.0607142857142868)</f>
        <v>4.9765807962530169E-2</v>
      </c>
      <c r="BH244" s="88">
        <f>IF($Z$3="yes", 0.183580517006802/$X244, 0.183580517006802)</f>
        <v>0.15047583361213279</v>
      </c>
      <c r="BI244" s="68"/>
      <c r="BJ244" s="68"/>
      <c r="BK244" s="68">
        <f>IF($BL$3="yes", MAX(0, (1881125 - 2132807.8) / 553843.788386364), 2132807.8)</f>
        <v>2132807.7999999998</v>
      </c>
      <c r="BL244" s="68">
        <f>IF($BL$3="yes", MAX(0, (1881125 - 2994705.4) / 1799141.02376868), 2994705.4)</f>
        <v>2994705.4</v>
      </c>
      <c r="BM244" s="68">
        <f>IF($BL$3="yes", MAX(0, (1881125 - 2815001.45) / 1558470.9556415), 2815001.45)</f>
        <v>2815001.45</v>
      </c>
      <c r="BN244" s="68">
        <f>IF($BL$3="yes", MAX(0, (1881125 - 2579003.16) / 3157286.98057106), 2579003.16)</f>
        <v>2579003.16</v>
      </c>
      <c r="BO244" s="68">
        <f>IF($BL$3="yes", MAX(0, (1881125 - 1879058.45) / 2426857.3642195), 1879058.45)</f>
        <v>1879058.45</v>
      </c>
      <c r="BP244" s="68">
        <f>IF($BL$3="yes", MAX(0, (1881125 - 2123820.22) / 5590443.03252846), 2123820.22)</f>
        <v>2123820.2200000002</v>
      </c>
      <c r="BQ244" s="68">
        <v>49.67368425448894</v>
      </c>
      <c r="BR244" s="68"/>
      <c r="BS244" s="68"/>
      <c r="BT244" s="68">
        <v>2175973.0222409219</v>
      </c>
      <c r="BU244" s="68">
        <v>969854.02645185799</v>
      </c>
      <c r="BV244" s="68">
        <f>IF($Z$3="yes", 0.112075696550353/$X244, 0.112075696550353)</f>
        <v>9.1865325041272955E-2</v>
      </c>
      <c r="BW244" s="68">
        <f>IF($Z$3="yes", 0.147573359782312/$X244, 0.147573359782312)</f>
        <v>0.12096177031337051</v>
      </c>
      <c r="BX244" s="68">
        <f>$BW$117 - $BV$117</f>
        <v>1.9628823930064362E-2</v>
      </c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  <c r="CQ244" s="81"/>
      <c r="CR244" s="81"/>
      <c r="CS244" s="68"/>
      <c r="CT244" s="68"/>
      <c r="CU244" s="68"/>
    </row>
    <row r="245" spans="1:99" ht="15.75" customHeight="1" thickBot="1" x14ac:dyDescent="0.3">
      <c r="A245" s="84"/>
      <c r="B245" s="67" t="s">
        <v>128</v>
      </c>
      <c r="C245" s="83" t="s">
        <v>600</v>
      </c>
      <c r="D245" s="67" t="s">
        <v>610</v>
      </c>
      <c r="E245" s="67">
        <v>1</v>
      </c>
      <c r="F245" s="85">
        <v>2.88</v>
      </c>
      <c r="G245" s="313">
        <v>44210</v>
      </c>
      <c r="H245" s="317">
        <v>1.97</v>
      </c>
      <c r="I245" s="85">
        <v>7.3</v>
      </c>
      <c r="J245" s="313">
        <v>44221</v>
      </c>
      <c r="K245" s="239">
        <f t="shared" si="8"/>
        <v>-0.31597222222222221</v>
      </c>
      <c r="L245" s="240">
        <f t="shared" si="9"/>
        <v>1.5347222222222223</v>
      </c>
      <c r="M245" s="312">
        <v>44407</v>
      </c>
      <c r="N245" s="68"/>
      <c r="O245" s="291">
        <v>50985760</v>
      </c>
      <c r="P245" s="291">
        <v>50840000</v>
      </c>
      <c r="Q245" s="291">
        <v>8</v>
      </c>
      <c r="R245" s="68" t="s">
        <v>131</v>
      </c>
      <c r="S245" s="68" t="s">
        <v>148</v>
      </c>
      <c r="T245" s="68" t="s">
        <v>208</v>
      </c>
      <c r="U245" s="68">
        <v>2004</v>
      </c>
      <c r="V245" s="68">
        <v>9455973</v>
      </c>
      <c r="W245" s="68"/>
      <c r="X245" s="68">
        <v>2.93</v>
      </c>
      <c r="Y245" s="68">
        <v>1.3066030000000011</v>
      </c>
      <c r="Z245" s="68">
        <v>1.968426000000002</v>
      </c>
      <c r="AA245" s="68">
        <v>2.4598</v>
      </c>
      <c r="AB245" s="68">
        <v>2.2904999999999989</v>
      </c>
      <c r="AC245" s="68">
        <v>2.830000000000001</v>
      </c>
      <c r="AD245" s="68">
        <v>2.8664285714285711</v>
      </c>
      <c r="AE245" s="68">
        <v>2.8250000000000002</v>
      </c>
      <c r="AF245" s="68">
        <f>IF($Z$3="yes", 0.0136594526363157/$X245, 0.0136594526363157)</f>
        <v>4.6619292274115015E-3</v>
      </c>
      <c r="AG245" s="68">
        <f>IF($Z$3="yes", 0.0216132481248123/$X245, 0.0216132481248123)</f>
        <v>7.3765351961816725E-3</v>
      </c>
      <c r="AH245" s="68">
        <f>IF($Z$3="yes", 0.0266165666266507/$X245, 0.0266165666266507)</f>
        <v>9.0841524323039928E-3</v>
      </c>
      <c r="AI245" s="68">
        <f>IF($Z$3="yes", 0.0258076830732294/$X245, 0.0258076830732294)</f>
        <v>8.8080829601465526E-3</v>
      </c>
      <c r="AJ245" s="68">
        <f>IF($Z$3="yes", 0.00947368421052782/$X245, 0.00947368421052782)</f>
        <v>3.2333393209992558E-3</v>
      </c>
      <c r="AK245" s="68">
        <f>IF($Z$3="yes", -0.00806593406592965/$X245, -0.00806593406592965)</f>
        <v>-2.7528785207951018E-3</v>
      </c>
      <c r="AL245" s="68">
        <f>IF($Z$3="yes", 0.0540476190476199/$X245, 0.0540476190476199)</f>
        <v>1.844628636437539E-2</v>
      </c>
      <c r="AM245" s="68">
        <f>IF($Z$3="yes", 0.661823000000001/$X245, 0.661823000000001)</f>
        <v>0.22587815699658736</v>
      </c>
      <c r="AN245" s="68">
        <f>IF($Z$3="yes", 1.15319699999999/$X245, 1.15319699999999)</f>
        <v>0.39358259385665184</v>
      </c>
      <c r="AO245" s="68">
        <f>IF($Z$3="yes", 0.983896999999998/$X245, 0.983896999999998)</f>
        <v>0.33580102389078431</v>
      </c>
      <c r="AP245" s="68">
        <f>IF($Z$3="yes", 1.523397/$X245, 1.523397)</f>
        <v>0.5199307167235494</v>
      </c>
      <c r="AQ245" s="68">
        <f>IF($Z$3="yes", 1.55982557142857/$X245, 1.55982557142857)</f>
        <v>0.53236367625548464</v>
      </c>
      <c r="AR245" s="68">
        <f>IF($Z$3="yes", 1.51839699999999/$X245, 1.51839699999999)</f>
        <v>0.51822423208190782</v>
      </c>
      <c r="AS245" s="68">
        <f>IF($Z$3="yes", 0.491373999999998/$X245, 0.491373999999998)</f>
        <v>0.16770443686006756</v>
      </c>
      <c r="AT245" s="68">
        <f>IF($Z$3="yes", 0.322073999999997/$X245, 0.322073999999997)</f>
        <v>0.10992286689419692</v>
      </c>
      <c r="AU245" s="88">
        <f>IF($Z$3="yes", 0.861573999999999/$X245, 0.861573999999999)</f>
        <v>0.29405255972696209</v>
      </c>
      <c r="AV245" s="88">
        <f>IF($Z$3="yes", 0.898002571428569/$X245, 0.898002571428569)</f>
        <v>0.30648551925889722</v>
      </c>
      <c r="AW245" s="88">
        <f>IF($Z$3="yes", 0.856573999999998/$X245, 0.856573999999998)</f>
        <v>0.29234607508532351</v>
      </c>
      <c r="AX245" s="88">
        <f>IF($Z$3="yes", 0.1693/$X245, 0.1693)</f>
        <v>5.7781569965870305E-2</v>
      </c>
      <c r="AY245" s="88">
        <f>IF($Z$3="yes", 0.539500000000002/$X245, 0.539500000000002)</f>
        <v>0.18412969283276517</v>
      </c>
      <c r="AZ245" s="88">
        <f>IF($Z$3="yes", 0.575928571428572/$X245, 0.575928571428572)</f>
        <v>0.19656265236470033</v>
      </c>
      <c r="BA245" s="88">
        <f>IF($Z$3="yes", 0.534500000000001/$X245, 0.534500000000001)</f>
        <v>0.18242320819112659</v>
      </c>
      <c r="BB245" s="88">
        <f>IF($Z$3="yes", 0.370200000000001/$X245, 0.370200000000001)</f>
        <v>0.12634812286689454</v>
      </c>
      <c r="BC245" s="88">
        <f>IF($Z$3="yes", 0.406628571428571/$X245, 0.406628571428571)</f>
        <v>0.13878108239882969</v>
      </c>
      <c r="BD245" s="88">
        <f>IF($Z$3="yes", 0.3652/$X245, 0.3652)</f>
        <v>0.12464163822525598</v>
      </c>
      <c r="BE245" s="88">
        <f>IF($Z$3="yes", 0.0364285714285701/$X245, 0.0364285714285701)</f>
        <v>1.2432959531935187E-2</v>
      </c>
      <c r="BF245" s="88">
        <f>IF($Z$3="yes", 0.00500000000000078/$X245, 0.00500000000000078)</f>
        <v>1.7064846416384913E-3</v>
      </c>
      <c r="BG245" s="88">
        <f>IF($Z$3="yes", 0.0414285714285709/$X245, 0.0414285714285709)</f>
        <v>1.4139444173573684E-2</v>
      </c>
      <c r="BH245" s="88">
        <f>IF($Z$3="yes", 0.630255333333333/$X245, 0.630255333333333)</f>
        <v>0.21510420932878258</v>
      </c>
      <c r="BI245" s="68"/>
      <c r="BJ245" s="68"/>
      <c r="BK245" s="68">
        <f>IF($BL$3="yes", MAX(0, (9455973 - 20018760.8) / 16050831.5146738), 20018760.8)</f>
        <v>20018760.800000001</v>
      </c>
      <c r="BL245" s="68">
        <f>IF($BL$3="yes", MAX(0, (9455973 - 12249820.5) / 13937265.5987161), 12249820.5)</f>
        <v>12249820.5</v>
      </c>
      <c r="BM245" s="68">
        <f>IF($BL$3="yes", MAX(0, (9455973 - 8227081.5) / 10838430.9831374), 8227081.5)</f>
        <v>8227081.5</v>
      </c>
      <c r="BN245" s="68">
        <f>IF($BL$3="yes", MAX(0, (9455973 - 7272674.18) / 10600764.1624673), 7272674.18)</f>
        <v>7272674.1799999997</v>
      </c>
      <c r="BO245" s="68">
        <f>IF($BL$3="yes", MAX(0, (9455973 - 9497400.93) / 23653048.5621635), 9497400.93)</f>
        <v>9497400.9299999997</v>
      </c>
      <c r="BP245" s="68">
        <f>IF($BL$3="yes", MAX(0, (9455973 - 5882844.375) / 17380788.4102088), 5882844.375)</f>
        <v>5882844.375</v>
      </c>
      <c r="BQ245" s="68">
        <v>56.843933184369078</v>
      </c>
      <c r="BR245" s="68"/>
      <c r="BS245" s="68"/>
      <c r="BT245" s="68">
        <v>-112530922.0311562</v>
      </c>
      <c r="BU245" s="68">
        <v>-7918597.642525658</v>
      </c>
      <c r="BV245" s="68">
        <f>IF($Z$3="yes", 0.345145059263289/$X245, 0.345145059263289)</f>
        <v>0.11779694855402353</v>
      </c>
      <c r="BW245" s="68">
        <f>IF($Z$3="yes", 0.311767798697434/$X245, 0.311767798697434)</f>
        <v>0.10640539204690579</v>
      </c>
      <c r="BX245" s="68">
        <f>$BW$124 - $BV$124</f>
        <v>4.1837470444461108E-2</v>
      </c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  <c r="CO245" s="68"/>
      <c r="CP245" s="68"/>
      <c r="CQ245" s="81"/>
      <c r="CR245" s="81"/>
      <c r="CS245" s="68"/>
      <c r="CT245" s="68"/>
      <c r="CU245" s="68"/>
    </row>
    <row r="246" spans="1:99" ht="15.75" customHeight="1" thickBot="1" x14ac:dyDescent="0.3">
      <c r="A246" s="84" t="s">
        <v>194</v>
      </c>
      <c r="B246" s="67" t="s">
        <v>128</v>
      </c>
      <c r="C246" s="83" t="s">
        <v>600</v>
      </c>
      <c r="D246" s="67" t="s">
        <v>460</v>
      </c>
      <c r="E246" s="67">
        <v>1</v>
      </c>
      <c r="F246" s="85">
        <v>1.29</v>
      </c>
      <c r="G246" s="313">
        <v>44210</v>
      </c>
      <c r="H246" s="317">
        <v>0.46360000000000001</v>
      </c>
      <c r="I246" s="85">
        <v>2.17</v>
      </c>
      <c r="J246" s="313">
        <v>44277</v>
      </c>
      <c r="K246" s="125">
        <f t="shared" si="8"/>
        <v>-0.64062015503875969</v>
      </c>
      <c r="L246" s="230">
        <f t="shared" si="9"/>
        <v>0.68217054263565879</v>
      </c>
      <c r="M246" s="312">
        <v>44407</v>
      </c>
      <c r="N246" s="68"/>
      <c r="O246" s="291">
        <v>113500455</v>
      </c>
      <c r="P246" s="291">
        <v>70160000</v>
      </c>
      <c r="Q246" s="291">
        <v>64</v>
      </c>
      <c r="R246" s="68" t="s">
        <v>131</v>
      </c>
      <c r="S246" s="68" t="s">
        <v>157</v>
      </c>
      <c r="T246" s="67" t="s">
        <v>197</v>
      </c>
      <c r="U246" s="68">
        <v>152</v>
      </c>
      <c r="V246" s="68">
        <v>3213247</v>
      </c>
      <c r="W246" s="68"/>
      <c r="X246" s="68">
        <v>1.4</v>
      </c>
      <c r="Y246" s="68">
        <v>0.83737899999999987</v>
      </c>
      <c r="Z246" s="68">
        <v>1.026262</v>
      </c>
      <c r="AA246" s="68">
        <v>1.0244780000000011</v>
      </c>
      <c r="AB246" s="68">
        <v>1.0011980000000009</v>
      </c>
      <c r="AC246" s="68">
        <v>1.0562499999999999</v>
      </c>
      <c r="AD246" s="68">
        <v>1.0722714285714281</v>
      </c>
      <c r="AE246" s="68">
        <v>1.1147499999999999</v>
      </c>
      <c r="AF246" s="68">
        <f>IF($Z$3="yes", 0.0042524704117603/$X246, 0.0042524704117603)</f>
        <v>3.0374788655430714E-3</v>
      </c>
      <c r="AG246" s="68">
        <f>IF($Z$3="yes", 0.0000659405940594562/$X246, 0.0000659405940594562)</f>
        <v>4.7100424328183003E-5</v>
      </c>
      <c r="AH246" s="68">
        <f>IF($Z$3="yes", 0.00352157983193238/$X246, 0.00352157983193238)</f>
        <v>2.5154141656659858E-3</v>
      </c>
      <c r="AI246" s="68">
        <f>IF($Z$3="yes", 0.0022726386554618/$X246, 0.0022726386554618)</f>
        <v>1.6233133253298572E-3</v>
      </c>
      <c r="AJ246" s="68">
        <f>IF($Z$3="yes", 0.00969398496240658/$X246, 0.00969398496240658)</f>
        <v>6.9242749731475584E-3</v>
      </c>
      <c r="AK246" s="68">
        <f>IF($Z$3="yes", 0.0186958241758289/$X246, 0.0186958241758289)</f>
        <v>1.3354160125592072E-2</v>
      </c>
      <c r="AL246" s="68">
        <f>IF($Z$3="yes", 0.0485000000000001/$X246, 0.0485000000000001)</f>
        <v>3.4642857142857218E-2</v>
      </c>
      <c r="AM246" s="68">
        <f>IF($Z$3="yes", 0.188883/$X246, 0.188883)</f>
        <v>0.13491642857142858</v>
      </c>
      <c r="AN246" s="68">
        <f>IF($Z$3="yes", 0.187099000000001/$X246, 0.187099000000001)</f>
        <v>0.13364214285714357</v>
      </c>
      <c r="AO246" s="68">
        <f>IF($Z$3="yes", 0.163819000000001/$X246, 0.163819000000001)</f>
        <v>0.11701357142857215</v>
      </c>
      <c r="AP246" s="68">
        <f>IF($Z$3="yes", 0.218871/$X246, 0.218871)</f>
        <v>0.1563364285714286</v>
      </c>
      <c r="AQ246" s="68">
        <f>IF($Z$3="yes", 0.234892428571427/$X246, 0.234892428571427)</f>
        <v>0.16778030612244788</v>
      </c>
      <c r="AR246" s="68">
        <f>IF($Z$3="yes", 0.277371/$X246, 0.277371)</f>
        <v>0.19812214285714286</v>
      </c>
      <c r="AS246" s="68">
        <f>IF($Z$3="yes", 0.00178399999999889/$X246, 0.00178399999999889)</f>
        <v>1.2742857142849216E-3</v>
      </c>
      <c r="AT246" s="68">
        <f>IF($Z$3="yes", 0.0250639999999986/$X246, 0.0250639999999986)</f>
        <v>1.7902857142856145E-2</v>
      </c>
      <c r="AU246" s="88">
        <f>IF($Z$3="yes", 0.0299880000000003/$X246, 0.0299880000000003)</f>
        <v>2.1420000000000217E-2</v>
      </c>
      <c r="AV246" s="88">
        <f>IF($Z$3="yes", 0.0460094285714276/$X246, 0.0460094285714276)</f>
        <v>3.2863877551019716E-2</v>
      </c>
      <c r="AW246" s="88">
        <f>IF($Z$3="yes", 0.0884880000000003/$X246, 0.0884880000000003)</f>
        <v>6.3205714285714504E-2</v>
      </c>
      <c r="AX246" s="88">
        <f>IF($Z$3="yes", 0.0232799999999997/$X246, 0.0232799999999997)</f>
        <v>1.6628571428571215E-2</v>
      </c>
      <c r="AY246" s="88">
        <f>IF($Z$3="yes", 0.0550519999999989/$X246, 0.0550519999999989)</f>
        <v>3.9322857142856361E-2</v>
      </c>
      <c r="AZ246" s="88">
        <f>IF($Z$3="yes", 0.0710734285714267/$X246, 0.0710734285714267)</f>
        <v>5.0766734693876221E-2</v>
      </c>
      <c r="BA246" s="88">
        <f>IF($Z$3="yes", 0.113551999999998/$X246, 0.113551999999998)</f>
        <v>8.1108571428570003E-2</v>
      </c>
      <c r="BB246" s="88">
        <f>IF($Z$3="yes", 0.0317719999999992/$X246, 0.0317719999999992)</f>
        <v>2.2694285714285143E-2</v>
      </c>
      <c r="BC246" s="88">
        <f>IF($Z$3="yes", 0.0477934285714265/$X246, 0.0477934285714265)</f>
        <v>3.4138163265304645E-2</v>
      </c>
      <c r="BD246" s="88">
        <f>IF($Z$3="yes", 0.0902719999999992/$X246, 0.0902719999999992)</f>
        <v>6.4479999999999427E-2</v>
      </c>
      <c r="BE246" s="88">
        <f>IF($Z$3="yes", 0.0160214285714277/$X246, 0.0160214285714277)</f>
        <v>1.1443877551019787E-2</v>
      </c>
      <c r="BF246" s="88">
        <f>IF($Z$3="yes", 0.0584999999999999/$X246, 0.0584999999999999)</f>
        <v>4.1785714285714218E-2</v>
      </c>
      <c r="BG246" s="88">
        <f>IF($Z$3="yes", 0.0424785714285722/$X246, 0.0424785714285722)</f>
        <v>3.0341836734694431E-2</v>
      </c>
      <c r="BH246" s="88">
        <f>IF($Z$3="yes", 0.157397673469387/$X246, 0.157397673469387)</f>
        <v>0.11242690962099071</v>
      </c>
      <c r="BI246" s="68"/>
      <c r="BJ246" s="68"/>
      <c r="BK246" s="68">
        <f>IF($BL$3="yes", MAX(0, (3213247 - 1502223.6) / 1307623.5323177), 1502223.6)</f>
        <v>1502223.6</v>
      </c>
      <c r="BL246" s="68">
        <f>IF($BL$3="yes", MAX(0, (3213247 - 1013802.9) / 1065517.19787147), 1013802.9)</f>
        <v>1013802.9</v>
      </c>
      <c r="BM246" s="68">
        <f>IF($BL$3="yes", MAX(0, (3213247 - 1193180.3) / 2746322.91868997), 1193180.3)</f>
        <v>1193180.3</v>
      </c>
      <c r="BN246" s="68">
        <f>IF($BL$3="yes", MAX(0, (3213247 - 650795.36) / 1807590.81598878), 650795.36)</f>
        <v>650795.36</v>
      </c>
      <c r="BO246" s="68">
        <f>IF($BL$3="yes", MAX(0, (3213247 - 607415.16) / 1510062.21117229), 607415.16)</f>
        <v>607415.16</v>
      </c>
      <c r="BP246" s="68">
        <f>IF($BL$3="yes", MAX(0, (3213247 - 1040275.405) / 5783358.23618716), 1040275.405)</f>
        <v>1040275.405</v>
      </c>
      <c r="BQ246" s="68">
        <v>81.046362928356501</v>
      </c>
      <c r="BR246" s="68"/>
      <c r="BS246" s="68"/>
      <c r="BT246" s="68">
        <v>-80998333.142602235</v>
      </c>
      <c r="BU246" s="68">
        <v>1657424.9163566381</v>
      </c>
      <c r="BV246" s="68">
        <f>IF($Z$3="yes", 0.0999706707452325/$X246, 0.0999706707452325)</f>
        <v>7.1407621960880366E-2</v>
      </c>
      <c r="BW246" s="68">
        <f>IF($Z$3="yes", 0.0730164464743571/$X246, 0.0730164464743571)</f>
        <v>5.2154604624540787E-2</v>
      </c>
      <c r="BX246" s="68">
        <f>$BW$122 - $BV$122</f>
        <v>3.2110901125157743E-2</v>
      </c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  <c r="CO246" s="68"/>
      <c r="CP246" s="68"/>
      <c r="CQ246" s="81"/>
      <c r="CR246" s="81"/>
      <c r="CS246" s="68"/>
      <c r="CT246" s="68"/>
      <c r="CU246" s="68"/>
    </row>
    <row r="247" spans="1:99" ht="15.75" customHeight="1" thickBot="1" x14ac:dyDescent="0.3">
      <c r="A247" s="84"/>
      <c r="B247" s="67" t="s">
        <v>128</v>
      </c>
      <c r="C247" s="83" t="s">
        <v>611</v>
      </c>
      <c r="D247" s="67" t="s">
        <v>612</v>
      </c>
      <c r="E247" s="67">
        <v>1</v>
      </c>
      <c r="F247" s="85">
        <v>8.9</v>
      </c>
      <c r="G247" s="313">
        <v>44204</v>
      </c>
      <c r="H247" s="317">
        <v>8.51</v>
      </c>
      <c r="I247" s="85">
        <v>17.899999999999999</v>
      </c>
      <c r="J247" s="313">
        <v>44244</v>
      </c>
      <c r="K247" s="97">
        <f t="shared" si="8"/>
        <v>-4.3820224719101186E-2</v>
      </c>
      <c r="L247" s="243">
        <f t="shared" si="9"/>
        <v>1.0112359550561796</v>
      </c>
      <c r="M247" s="312">
        <v>44407</v>
      </c>
      <c r="N247" s="68"/>
      <c r="O247" s="291">
        <v>2441960</v>
      </c>
      <c r="P247" s="291">
        <v>240000</v>
      </c>
      <c r="Q247" s="291">
        <v>38</v>
      </c>
      <c r="R247" s="68" t="s">
        <v>152</v>
      </c>
      <c r="S247" s="68" t="s">
        <v>135</v>
      </c>
      <c r="T247" s="68" t="s">
        <v>158</v>
      </c>
      <c r="U247" s="68">
        <v>104</v>
      </c>
      <c r="V247" s="68">
        <v>207901</v>
      </c>
      <c r="W247" s="68"/>
      <c r="X247" s="68">
        <v>9.3000000000000007</v>
      </c>
      <c r="Y247" s="68">
        <v>7.7200434999999992</v>
      </c>
      <c r="Z247" s="68">
        <v>8.6657810000000026</v>
      </c>
      <c r="AA247" s="68">
        <v>8.9748599999999996</v>
      </c>
      <c r="AB247" s="68">
        <v>9.2074599999999975</v>
      </c>
      <c r="AC247" s="68">
        <v>8.7630900000000036</v>
      </c>
      <c r="AD247" s="68">
        <v>8.6957142857142866</v>
      </c>
      <c r="AE247" s="68">
        <v>8.7149999999999999</v>
      </c>
      <c r="AF247" s="68">
        <f>IF($Z$3="yes", 0.0256063177829447/$X247, 0.0256063177829447)</f>
        <v>2.7533675035424404E-3</v>
      </c>
      <c r="AG247" s="68">
        <f>IF($Z$3="yes", 0.0146988244824478/$X247, 0.0146988244824478)</f>
        <v>1.5805187615535268E-3</v>
      </c>
      <c r="AH247" s="68">
        <f>IF($Z$3="yes", 0.00592477310924429/$X247, 0.00592477310924429)</f>
        <v>6.3707237733809569E-4</v>
      </c>
      <c r="AI247" s="68">
        <f>IF($Z$3="yes", -0.000863702280911765/$X247, -0.000863702280911765)</f>
        <v>-9.2871213001265049E-5</v>
      </c>
      <c r="AJ247" s="68">
        <f>IF($Z$3="yes", -0.0266013533834703/$X247, -0.0266013533834703)</f>
        <v>-2.8603605788677738E-3</v>
      </c>
      <c r="AK247" s="68">
        <f>IF($Z$3="yes", -0.0282197802198125/$X247, -0.0282197802198125)</f>
        <v>-3.0343849698723116E-3</v>
      </c>
      <c r="AL247" s="68">
        <f>IF($Z$3="yes", -0.139285714285714/$X247, -0.139285714285714)</f>
        <v>-1.4976958525345592E-2</v>
      </c>
      <c r="AM247" s="68">
        <f>IF($Z$3="yes", 0.945737500000003/$X247, 0.945737500000003)</f>
        <v>0.10169220430107559</v>
      </c>
      <c r="AN247" s="68">
        <f>IF($Z$3="yes", 1.2548165/$X247, 1.2548165)</f>
        <v>0.13492650537634407</v>
      </c>
      <c r="AO247" s="68">
        <f>IF($Z$3="yes", 1.48741649999999/$X247, 1.48741649999999)</f>
        <v>0.15993725806451503</v>
      </c>
      <c r="AP247" s="68">
        <f>IF($Z$3="yes", 1.0430465/$X247, 1.0430465)</f>
        <v>0.11215553763440859</v>
      </c>
      <c r="AQ247" s="68">
        <f>IF($Z$3="yes", 0.975670785714287/$X247, 0.975670785714287)</f>
        <v>0.10491083717357924</v>
      </c>
      <c r="AR247" s="68">
        <f>IF($Z$3="yes", 0.9949565/$X247, 0.9949565)</f>
        <v>0.10698456989247311</v>
      </c>
      <c r="AS247" s="68">
        <f>IF($Z$3="yes", 0.309078999999997/$X247, 0.309078999999997)</f>
        <v>3.3234301075268494E-2</v>
      </c>
      <c r="AT247" s="68">
        <f>IF($Z$3="yes", 0.541678999999994/$X247, 0.541678999999994)</f>
        <v>5.8245053763440212E-2</v>
      </c>
      <c r="AU247" s="88">
        <f>IF($Z$3="yes", 0.0973090000000009/$X247, 0.0973090000000009)</f>
        <v>1.0463333333333429E-2</v>
      </c>
      <c r="AV247" s="88">
        <f>IF($Z$3="yes", 0.0299332857142839/$X247, 0.0299332857142839)</f>
        <v>3.2186328725036448E-3</v>
      </c>
      <c r="AW247" s="88">
        <f>IF($Z$3="yes", 0.0492189999999972/$X247, 0.0492189999999972)</f>
        <v>5.2923655913975484E-3</v>
      </c>
      <c r="AX247" s="88">
        <f>IF($Z$3="yes", 0.232599999999997/$X247, 0.232599999999997)</f>
        <v>2.5010752688171718E-2</v>
      </c>
      <c r="AY247" s="88">
        <f>IF($Z$3="yes", 0.444369999999993/$X247, 0.444369999999993)</f>
        <v>4.7781720430106769E-2</v>
      </c>
      <c r="AZ247" s="88">
        <f>IF($Z$3="yes", 0.51174571428571/$X247, 0.51174571428571)</f>
        <v>5.502642089093656E-2</v>
      </c>
      <c r="BA247" s="88">
        <f>IF($Z$3="yes", 0.492459999999997/$X247, 0.492459999999997)</f>
        <v>5.2952688172042683E-2</v>
      </c>
      <c r="BB247" s="88">
        <f>IF($Z$3="yes", 0.211769999999996/$X247, 0.211769999999996)</f>
        <v>2.2770967741935051E-2</v>
      </c>
      <c r="BC247" s="88">
        <f>IF($Z$3="yes", 0.279145714285713/$X247, 0.279145714285713)</f>
        <v>3.0015668202764835E-2</v>
      </c>
      <c r="BD247" s="88">
        <f>IF($Z$3="yes", 0.259859999999999/$X247, 0.259859999999999)</f>
        <v>2.7941935483870858E-2</v>
      </c>
      <c r="BE247" s="88">
        <f>IF($Z$3="yes", 0.0673757142857169/$X247, 0.0673757142857169)</f>
        <v>7.2447004608297734E-3</v>
      </c>
      <c r="BF247" s="88">
        <f>IF($Z$3="yes", 0.0480900000000037/$X247, 0.0480900000000037)</f>
        <v>5.1709677419358811E-3</v>
      </c>
      <c r="BG247" s="88">
        <f>IF($Z$3="yes", 0.0192857142857132/$X247, 0.0192857142857132)</f>
        <v>2.0737327188938923E-3</v>
      </c>
      <c r="BH247" s="88">
        <f>IF($Z$3="yes", 1.21455841496598/$X247, 1.21455841496598)</f>
        <v>0.13059767902860001</v>
      </c>
      <c r="BI247" s="68"/>
      <c r="BJ247" s="68"/>
      <c r="BK247" s="68">
        <f>IF($BL$3="yes", MAX(0, (207901 - 124162.2) / 95768.9722183547), 124162.2)</f>
        <v>124162.2</v>
      </c>
      <c r="BL247" s="68">
        <f>IF($BL$3="yes", MAX(0, (207901 - 201080.4) / 241471.363046304), 201080.4)</f>
        <v>201080.4</v>
      </c>
      <c r="BM247" s="68">
        <f>IF($BL$3="yes", MAX(0, (207901 - 109848.8) / 193639.64144219), 109848.8)</f>
        <v>109848.8</v>
      </c>
      <c r="BN247" s="68">
        <f>IF($BL$3="yes", MAX(0, (207901 - 65615.62) / 130526.537745837), 65615.62)</f>
        <v>65615.62</v>
      </c>
      <c r="BO247" s="68">
        <f>IF($BL$3="yes", MAX(0, (207901 - 62097.68) / 105926.440727599), 62097.68)</f>
        <v>62097.68</v>
      </c>
      <c r="BP247" s="68">
        <f>IF($BL$3="yes", MAX(0, (207901 - 218507.44) / 1887003.11250924), 218507.44)</f>
        <v>218507.44</v>
      </c>
      <c r="BQ247" s="68">
        <v>53.39361620527432</v>
      </c>
      <c r="BR247" s="68"/>
      <c r="BS247" s="68"/>
      <c r="BT247" s="68">
        <v>-26497416.565006681</v>
      </c>
      <c r="BU247" s="68">
        <v>40350.496729910366</v>
      </c>
      <c r="BV247" s="68">
        <f>IF($Z$3="yes", 0.896277979016705/$X247, 0.896277979016705)</f>
        <v>9.6373976238355377E-2</v>
      </c>
      <c r="BW247" s="68">
        <f>IF($Z$3="yes", 0.739195355811576/$X247, 0.739195355811576)</f>
        <v>7.9483371592642571E-2</v>
      </c>
      <c r="BX247" s="68">
        <f>$BW$111 - $BV$111</f>
        <v>7.3853396440046445E-2</v>
      </c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  <c r="CO247" s="68"/>
      <c r="CP247" s="68"/>
      <c r="CQ247" s="81"/>
      <c r="CR247" s="81"/>
      <c r="CS247" s="68"/>
      <c r="CT247" s="68"/>
      <c r="CU247" s="68"/>
    </row>
    <row r="248" spans="1:99" ht="15.75" customHeight="1" thickBot="1" x14ac:dyDescent="0.3">
      <c r="A248" s="84" t="s">
        <v>194</v>
      </c>
      <c r="B248" s="67" t="s">
        <v>128</v>
      </c>
      <c r="C248" s="83" t="s">
        <v>611</v>
      </c>
      <c r="D248" s="67" t="s">
        <v>613</v>
      </c>
      <c r="E248" s="67">
        <v>1</v>
      </c>
      <c r="F248" s="85">
        <v>1.93</v>
      </c>
      <c r="G248" s="313">
        <v>44204</v>
      </c>
      <c r="H248" s="317">
        <v>2.44</v>
      </c>
      <c r="I248" s="85">
        <v>5</v>
      </c>
      <c r="J248" s="313">
        <v>44250</v>
      </c>
      <c r="K248" s="167">
        <f t="shared" si="8"/>
        <v>0.26424870466321249</v>
      </c>
      <c r="L248" s="236">
        <f t="shared" si="9"/>
        <v>1.5906735751295336</v>
      </c>
      <c r="M248" s="312">
        <v>44407</v>
      </c>
      <c r="N248" s="68"/>
      <c r="O248" s="291">
        <v>5886750</v>
      </c>
      <c r="P248" s="291">
        <v>4320000</v>
      </c>
      <c r="Q248" s="291">
        <v>44</v>
      </c>
      <c r="R248" s="68" t="s">
        <v>131</v>
      </c>
      <c r="S248" s="68" t="s">
        <v>148</v>
      </c>
      <c r="T248" s="68" t="s">
        <v>149</v>
      </c>
      <c r="U248" s="68">
        <v>52</v>
      </c>
      <c r="V248" s="68">
        <v>197430</v>
      </c>
      <c r="W248" s="68"/>
      <c r="X248" s="68">
        <v>1.87</v>
      </c>
      <c r="Y248" s="68">
        <v>1.8307345000000019</v>
      </c>
      <c r="Z248" s="68">
        <v>1.7555029999999989</v>
      </c>
      <c r="AA248" s="68">
        <v>1.9482800000000009</v>
      </c>
      <c r="AB248" s="68">
        <v>1.9418800000000009</v>
      </c>
      <c r="AC248" s="68">
        <v>1.877005</v>
      </c>
      <c r="AD248" s="68">
        <v>1.8471500000000001</v>
      </c>
      <c r="AE248" s="68">
        <v>1.79125</v>
      </c>
      <c r="AF248" s="68">
        <f>IF($Z$3="yes", 0.00244737665941641/$X248, 0.00244737665941641)</f>
        <v>1.3087575718804332E-3</v>
      </c>
      <c r="AG248" s="68">
        <f>IF($Z$3="yes", 0.00627898889889/$X248, 0.00627898889889)</f>
        <v>3.3577480742727271E-3</v>
      </c>
      <c r="AH248" s="68">
        <f>IF($Z$3="yes", -0.00123434333733525/$X248, -0.00123434333733525)</f>
        <v>-6.600766509814171E-4</v>
      </c>
      <c r="AI248" s="68">
        <f>IF($Z$3="yes", 0.00631478511404535/$X248, 0.00631478511404535)</f>
        <v>3.376890435318369E-3</v>
      </c>
      <c r="AJ248" s="68">
        <f>IF($Z$3="yes", -0.0113681954887228/$X248, -0.0113681954887228)</f>
        <v>-6.0792489244506946E-3</v>
      </c>
      <c r="AK248" s="68">
        <f>IF($Z$3="yes", -0.0139347252747265/$X248, -0.0139347252747265)</f>
        <v>-7.4517247458430478E-3</v>
      </c>
      <c r="AL248" s="68">
        <f>IF($Z$3="yes", 0.00392857142857123/$X248, 0.00392857142857123)</f>
        <v>2.1008403361343474E-3</v>
      </c>
      <c r="AM248" s="68">
        <f>IF($Z$3="yes", 0.0752315000000027/$X248, 0.0752315000000027)</f>
        <v>4.0230748663103048E-2</v>
      </c>
      <c r="AN248" s="68">
        <f>IF($Z$3="yes", 0.117545499999999/$X248, 0.117545499999999)</f>
        <v>6.2858556149732084E-2</v>
      </c>
      <c r="AO248" s="68">
        <f>IF($Z$3="yes", 0.111145499999999/$X248, 0.111145499999999)</f>
        <v>5.9436096256683953E-2</v>
      </c>
      <c r="AP248" s="68">
        <f>IF($Z$3="yes", 0.0462704999999976/$X248, 0.0462704999999976)</f>
        <v>2.4743582887699248E-2</v>
      </c>
      <c r="AQ248" s="68">
        <f>IF($Z$3="yes", 0.0164154999999981/$X248, 0.0164154999999981)</f>
        <v>8.7783422459882868E-3</v>
      </c>
      <c r="AR248" s="68">
        <f>IF($Z$3="yes", 0.0394845000000017/$X248, 0.0394845000000017)</f>
        <v>2.1114705882353847E-2</v>
      </c>
      <c r="AS248" s="68">
        <f>IF($Z$3="yes", 0.192777000000001/$X248, 0.192777000000001)</f>
        <v>0.10308930481283475</v>
      </c>
      <c r="AT248" s="68">
        <f>IF($Z$3="yes", 0.186377000000002/$X248, 0.186377000000002)</f>
        <v>9.9666844919787168E-2</v>
      </c>
      <c r="AU248" s="88">
        <f>IF($Z$3="yes", 0.121502/$X248, 0.121502)</f>
        <v>6.4974331550802136E-2</v>
      </c>
      <c r="AV248" s="88">
        <f>IF($Z$3="yes", 0.0916470000000009/$X248, 0.0916470000000009)</f>
        <v>4.9009090909091384E-2</v>
      </c>
      <c r="AW248" s="88">
        <f>IF($Z$3="yes", 0.035747000000001/$X248, 0.035747000000001)</f>
        <v>1.9116042780749198E-2</v>
      </c>
      <c r="AX248" s="88">
        <f>IF($Z$3="yes", 0.00639999999999996/$X248, 0.00639999999999996)</f>
        <v>3.4224598930481069E-3</v>
      </c>
      <c r="AY248" s="88">
        <f>IF($Z$3="yes", 0.0648750000000015/$X248, 0.0648750000000015)</f>
        <v>3.4692513368984761E-2</v>
      </c>
      <c r="AZ248" s="88">
        <f>IF($Z$3="yes", 0.094730000000001/$X248, 0.094730000000001)</f>
        <v>5.0657754010695714E-2</v>
      </c>
      <c r="BA248" s="88">
        <f>IF($Z$3="yes", 0.15063/$X248, 0.15063)</f>
        <v>8.0550802139037425E-2</v>
      </c>
      <c r="BB248" s="88">
        <f>IF($Z$3="yes", 0.0712750000000015/$X248, 0.0712750000000015)</f>
        <v>3.8114973262032885E-2</v>
      </c>
      <c r="BC248" s="88">
        <f>IF($Z$3="yes", 0.101130000000001/$X248, 0.101130000000001)</f>
        <v>5.4080213903743846E-2</v>
      </c>
      <c r="BD248" s="88">
        <f>IF($Z$3="yes", 0.15703/$X248, 0.15703)</f>
        <v>8.3973262032085563E-2</v>
      </c>
      <c r="BE248" s="88">
        <f>IF($Z$3="yes", 0.0298549999999995/$X248, 0.0298549999999995)</f>
        <v>1.5965240641710961E-2</v>
      </c>
      <c r="BF248" s="88">
        <f>IF($Z$3="yes", 0.0857549999999993/$X248, 0.0857549999999993)</f>
        <v>4.5858288770053102E-2</v>
      </c>
      <c r="BG248" s="88">
        <f>IF($Z$3="yes", 0.0558999999999998/$X248, 0.0558999999999998)</f>
        <v>2.9893048128342137E-2</v>
      </c>
      <c r="BH248" s="88">
        <f>IF($Z$3="yes", 0.252254571428571/$X248, 0.252254571428571)</f>
        <v>0.13489549274255133</v>
      </c>
      <c r="BI248" s="68"/>
      <c r="BJ248" s="68"/>
      <c r="BK248" s="68">
        <f>IF($BL$3="yes", MAX(0, (197430 - 123886.6) / 47035.2140277898), 123886.6)</f>
        <v>123886.6</v>
      </c>
      <c r="BL248" s="68">
        <f>IF($BL$3="yes", MAX(0, (197430 - 157361.7) / 59863.3576088912), 157361.7)</f>
        <v>157361.70000000001</v>
      </c>
      <c r="BM248" s="68">
        <f>IF($BL$3="yes", MAX(0, (197430 - 319837.4) / 312497.593708239), 319837.4)</f>
        <v>319837.40000000002</v>
      </c>
      <c r="BN248" s="68">
        <f>IF($BL$3="yes", MAX(0, (197430 - 1382980.74) / 6692026.54612812), 1382980.74)</f>
        <v>1382980.74</v>
      </c>
      <c r="BO248" s="68">
        <f>IF($BL$3="yes", MAX(0, (197430 - 881806.88) / 4782567.28627396), 881806.88)</f>
        <v>881806.88</v>
      </c>
      <c r="BP248" s="68">
        <f>IF($BL$3="yes", MAX(0, (197430 - 981465.98) / 5222708.1482743), 981465.98)</f>
        <v>981465.98</v>
      </c>
      <c r="BQ248" s="68">
        <v>48.871400771355347</v>
      </c>
      <c r="BR248" s="68"/>
      <c r="BS248" s="68"/>
      <c r="BT248" s="68">
        <v>-52885872.111064829</v>
      </c>
      <c r="BU248" s="68">
        <v>-19386.98538254201</v>
      </c>
      <c r="BV248" s="68">
        <f>IF($Z$3="yes", 0.129891649003248/$X248, 0.129891649003248)</f>
        <v>6.9460774868047054E-2</v>
      </c>
      <c r="BW248" s="68">
        <f>IF($Z$3="yes", 0.201784489193094/$X248, 0.201784489193094)</f>
        <v>0.1079061439535262</v>
      </c>
      <c r="BX248" s="68">
        <f>$BW$107 - $BV$107</f>
        <v>2.1379119578960361E-2</v>
      </c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81"/>
      <c r="CR248" s="81"/>
      <c r="CS248" s="68"/>
      <c r="CT248" s="68"/>
      <c r="CU248" s="68"/>
    </row>
    <row r="249" spans="1:99" ht="15.75" customHeight="1" thickBot="1" x14ac:dyDescent="0.3">
      <c r="A249" s="84"/>
      <c r="B249" s="67" t="s">
        <v>128</v>
      </c>
      <c r="C249" s="83" t="s">
        <v>611</v>
      </c>
      <c r="D249" s="67" t="s">
        <v>614</v>
      </c>
      <c r="E249" s="67">
        <v>1</v>
      </c>
      <c r="F249" s="85">
        <v>3.71</v>
      </c>
      <c r="G249" s="313">
        <v>44204</v>
      </c>
      <c r="H249" s="317">
        <v>7.84</v>
      </c>
      <c r="I249" s="85">
        <v>32.5</v>
      </c>
      <c r="J249" s="313">
        <v>44279</v>
      </c>
      <c r="K249" s="155">
        <f t="shared" si="8"/>
        <v>1.1132075471698113</v>
      </c>
      <c r="L249" s="149">
        <f t="shared" si="9"/>
        <v>7.7601078167115904</v>
      </c>
      <c r="M249" s="312">
        <v>44407</v>
      </c>
      <c r="N249" s="68"/>
      <c r="O249" s="291">
        <v>7600306</v>
      </c>
      <c r="P249" s="291">
        <v>5910000</v>
      </c>
      <c r="Q249" s="291">
        <v>73</v>
      </c>
      <c r="R249" s="68" t="s">
        <v>131</v>
      </c>
      <c r="S249" s="68" t="s">
        <v>135</v>
      </c>
      <c r="T249" s="68" t="s">
        <v>232</v>
      </c>
      <c r="U249" s="68">
        <v>52</v>
      </c>
      <c r="V249" s="68">
        <v>82001</v>
      </c>
      <c r="W249" s="68"/>
      <c r="X249" s="68">
        <v>3.69</v>
      </c>
      <c r="Y249" s="68">
        <v>1.3923894999999979</v>
      </c>
      <c r="Z249" s="68">
        <v>2.0181889999999991</v>
      </c>
      <c r="AA249" s="68">
        <v>3.290172000000001</v>
      </c>
      <c r="AB249" s="68">
        <v>2.7371599999999989</v>
      </c>
      <c r="AC249" s="68">
        <v>3.5165000000000002</v>
      </c>
      <c r="AD249" s="68">
        <v>3.5128571428571429</v>
      </c>
      <c r="AE249" s="68">
        <v>3.4562499999999998</v>
      </c>
      <c r="AF249" s="68">
        <f>IF($Z$3="yes", 0.0153269557488938/$X249, 0.0153269557488938)</f>
        <v>4.153646544415664E-3</v>
      </c>
      <c r="AG249" s="68">
        <f>IF($Z$3="yes", 0.0407457599759976/$X249, 0.0407457599759976)</f>
        <v>1.1042211375609106E-2</v>
      </c>
      <c r="AH249" s="68">
        <f>IF($Z$3="yes", 0.0248484801920772/$X249, 0.0248484801920772)</f>
        <v>6.7340054721076424E-3</v>
      </c>
      <c r="AI249" s="68">
        <f>IF($Z$3="yes", 0.0693522881152465/$X249, 0.0693522881152465)</f>
        <v>1.879465802581206E-2</v>
      </c>
      <c r="AJ249" s="68">
        <f>IF($Z$3="yes", -0.00139097744360888/$X249, -0.00139097744360888)</f>
        <v>-3.7695865680457453E-4</v>
      </c>
      <c r="AK249" s="68">
        <f>IF($Z$3="yes", -0.00470329670329571/$X249, -0.00470329670329571)</f>
        <v>-1.274606152654664E-3</v>
      </c>
      <c r="AL249" s="68">
        <f>IF($Z$3="yes", 0.0589285714285712/$X249, 0.0589285714285712)</f>
        <v>1.5969802555168347E-2</v>
      </c>
      <c r="AM249" s="68">
        <f>IF($Z$3="yes", 0.6257995/$X249, 0.6257995)</f>
        <v>0.16959336043360432</v>
      </c>
      <c r="AN249" s="68">
        <f>IF($Z$3="yes", 1.8977825/$X249, 1.8977825)</f>
        <v>0.51430420054200543</v>
      </c>
      <c r="AO249" s="68">
        <f>IF($Z$3="yes", 1.3447705/$X249, 1.3447705)</f>
        <v>0.36443644986449869</v>
      </c>
      <c r="AP249" s="68">
        <f>IF($Z$3="yes", 2.1241105/$X249, 2.1241105)</f>
        <v>0.57563970189701896</v>
      </c>
      <c r="AQ249" s="68">
        <f>IF($Z$3="yes", 2.12046764285714/$X249, 2.12046764285714)</f>
        <v>0.57465247773906236</v>
      </c>
      <c r="AR249" s="68">
        <f>IF($Z$3="yes", 2.0638605/$X249, 2.0638605)</f>
        <v>0.55931178861788622</v>
      </c>
      <c r="AS249" s="68">
        <f>IF($Z$3="yes", 1.271983/$X249, 1.271983)</f>
        <v>0.34471084010840114</v>
      </c>
      <c r="AT249" s="68">
        <f>IF($Z$3="yes", 0.718971/$X249, 0.718971)</f>
        <v>0.19484308943089432</v>
      </c>
      <c r="AU249" s="88">
        <f>IF($Z$3="yes", 1.498311/$X249, 1.498311)</f>
        <v>0.40604634146341462</v>
      </c>
      <c r="AV249" s="88">
        <f>IF($Z$3="yes", 1.49466814285714/$X249, 1.49466814285714)</f>
        <v>0.40505911730545802</v>
      </c>
      <c r="AW249" s="88">
        <f>IF($Z$3="yes", 1.438061/$X249, 1.438061)</f>
        <v>0.38971842818428187</v>
      </c>
      <c r="AX249" s="88">
        <f>IF($Z$3="yes", 0.553012000000001/$X249, 0.553012000000001)</f>
        <v>0.14986775067750704</v>
      </c>
      <c r="AY249" s="88">
        <f>IF($Z$3="yes", 0.77934/$X249, 0.77934)</f>
        <v>0.21120325203252033</v>
      </c>
      <c r="AZ249" s="88">
        <f>IF($Z$3="yes", 0.775697142857144/$X249, 0.775697142857144)</f>
        <v>0.21021602787456475</v>
      </c>
      <c r="BA249" s="88">
        <f>IF($Z$3="yes", 0.71909/$X249, 0.71909)</f>
        <v>0.19487533875338753</v>
      </c>
      <c r="BB249" s="88">
        <f>IF($Z$3="yes", 0.226327999999999/$X249, 0.226327999999999)</f>
        <v>6.1335501355013283E-2</v>
      </c>
      <c r="BC249" s="88">
        <f>IF($Z$3="yes", 0.222685142857142/$X249, 0.222685142857142)</f>
        <v>6.0348277197057452E-2</v>
      </c>
      <c r="BD249" s="88">
        <f>IF($Z$3="yes", 0.166077999999999/$X249, 0.166077999999999)</f>
        <v>4.5007588075880491E-2</v>
      </c>
      <c r="BE249" s="88">
        <f>IF($Z$3="yes", 0.00364285714285683/$X249, 0.00364285714285683)</f>
        <v>9.8722415795578049E-4</v>
      </c>
      <c r="BF249" s="88">
        <f>IF($Z$3="yes", 0.0602500000000003/$X249, 0.0602500000000003)</f>
        <v>1.6327913279132873E-2</v>
      </c>
      <c r="BG249" s="88">
        <f>IF($Z$3="yes", 0.0566071428571435/$X249, 0.0566071428571435)</f>
        <v>1.5340689121177101E-2</v>
      </c>
      <c r="BH249" s="88">
        <f>IF($Z$3="yes", 1.17176384353741/$X249, 1.17176384353741)</f>
        <v>0.31755117711040926</v>
      </c>
      <c r="BI249" s="68"/>
      <c r="BJ249" s="68"/>
      <c r="BK249" s="68">
        <f>IF($BL$3="yes", MAX(0, (82001 - 83818) / 34626.0861317013), 83818)</f>
        <v>83818</v>
      </c>
      <c r="BL249" s="68">
        <f>IF($BL$3="yes", MAX(0, (82001 - 97288) / 38309.5674812441), 97288)</f>
        <v>97288</v>
      </c>
      <c r="BM249" s="68">
        <f>IF($BL$3="yes", MAX(0, (82001 - 109314.05) / 62316.1006983548), 109314.05)</f>
        <v>109314.05</v>
      </c>
      <c r="BN249" s="68">
        <f>IF($BL$3="yes", MAX(0, (82001 - 200607.452) / 238682.248477737), 200607.452)</f>
        <v>200607.45199999999</v>
      </c>
      <c r="BO249" s="68">
        <f>IF($BL$3="yes", MAX(0, (82001 - 421134.076) / 824983.03150964), 421134.076)</f>
        <v>421134.076</v>
      </c>
      <c r="BP249" s="68">
        <f>IF($BL$3="yes", MAX(0, (82001 - 1421950.773) / 3629407.10909207), 1421950.773)</f>
        <v>1421950.773</v>
      </c>
      <c r="BQ249" s="68">
        <v>58.920251970914308</v>
      </c>
      <c r="BR249" s="68"/>
      <c r="BS249" s="68"/>
      <c r="BT249" s="68">
        <v>-14761937.35013531</v>
      </c>
      <c r="BU249" s="68">
        <v>-13612.44524275884</v>
      </c>
      <c r="BV249" s="68">
        <f>IF($Z$3="yes", 0.271750052269239/$X249, 0.271750052269239)</f>
        <v>7.364500061496991E-2</v>
      </c>
      <c r="BW249" s="68">
        <f>IF($Z$3="yes", 0.25107591660336/$X249, 0.25107591660336)</f>
        <v>6.8042253822048773E-2</v>
      </c>
      <c r="BX249" s="68">
        <f>$BW$108 - $BV$108</f>
        <v>0.15927319093968828</v>
      </c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  <c r="CO249" s="68"/>
      <c r="CP249" s="68"/>
      <c r="CQ249" s="81"/>
      <c r="CR249" s="81"/>
      <c r="CS249" s="68"/>
      <c r="CT249" s="68"/>
      <c r="CU249" s="68"/>
    </row>
    <row r="250" spans="1:99" ht="15.75" customHeight="1" thickBot="1" x14ac:dyDescent="0.3">
      <c r="A250" s="84" t="s">
        <v>194</v>
      </c>
      <c r="B250" s="67" t="s">
        <v>128</v>
      </c>
      <c r="C250" s="83" t="s">
        <v>611</v>
      </c>
      <c r="D250" s="67" t="s">
        <v>615</v>
      </c>
      <c r="E250" s="67">
        <v>1</v>
      </c>
      <c r="F250" s="85">
        <v>2.14</v>
      </c>
      <c r="G250" s="313">
        <v>44204</v>
      </c>
      <c r="H250" s="317">
        <v>2.2799999999999998</v>
      </c>
      <c r="I250" s="317">
        <v>6.84</v>
      </c>
      <c r="J250" s="313">
        <v>44391</v>
      </c>
      <c r="K250" s="92">
        <f t="shared" si="8"/>
        <v>6.5420560747663448E-2</v>
      </c>
      <c r="L250" s="242">
        <f t="shared" si="9"/>
        <v>2.1962616822429903</v>
      </c>
      <c r="M250" s="312">
        <v>44407</v>
      </c>
      <c r="N250" s="68"/>
      <c r="O250" s="291">
        <v>21474138</v>
      </c>
      <c r="P250" s="291">
        <v>6470000</v>
      </c>
      <c r="Q250" s="291">
        <v>187</v>
      </c>
      <c r="R250" s="68" t="s">
        <v>152</v>
      </c>
      <c r="S250" s="68" t="s">
        <v>148</v>
      </c>
      <c r="T250" s="68" t="s">
        <v>292</v>
      </c>
      <c r="U250" s="68">
        <v>20</v>
      </c>
      <c r="V250" s="68">
        <v>79858</v>
      </c>
      <c r="W250" s="68"/>
      <c r="X250" s="68">
        <v>2.2200000000000002</v>
      </c>
      <c r="Y250" s="68">
        <v>2.452024999999999</v>
      </c>
      <c r="Z250" s="68">
        <v>2.768098999999999</v>
      </c>
      <c r="AA250" s="68">
        <v>2.3002959999999968</v>
      </c>
      <c r="AB250" s="68">
        <v>2.584959999999997</v>
      </c>
      <c r="AC250" s="68">
        <v>2.109765000000003</v>
      </c>
      <c r="AD250" s="68">
        <v>2.119699999999999</v>
      </c>
      <c r="AE250" s="68">
        <v>2.1</v>
      </c>
      <c r="AF250" s="68">
        <f>IF($Z$3="yes", 0.00333411220280513/$X250, 0.00333411220280513)</f>
        <v>1.5018523436059143E-3</v>
      </c>
      <c r="AG250" s="68">
        <f>IF($Z$3="yes", -0.0145535751575155/$X250, -0.0145535751575155)</f>
        <v>-6.5556644853673419E-3</v>
      </c>
      <c r="AH250" s="68">
        <f>IF($Z$3="yes", -0.018380629051619/$X250, -0.018380629051619)</f>
        <v>-8.2795626358644139E-3</v>
      </c>
      <c r="AI250" s="68">
        <f>IF($Z$3="yes", -0.0367011284513792/$X250, -0.0367011284513792)</f>
        <v>-1.65320398429636E-2</v>
      </c>
      <c r="AJ250" s="68">
        <f>IF($Z$3="yes", 0.000883383458651661/$X250, 0.000883383458651661)</f>
        <v>3.9792047687011752E-4</v>
      </c>
      <c r="AK250" s="68">
        <f>IF($Z$3="yes", -0.000983296703294311/$X250, -0.000983296703294311)</f>
        <v>-4.4292644292536528E-4</v>
      </c>
      <c r="AL250" s="68">
        <f>IF($Z$3="yes", 0.0171428571428577/$X250, 0.0171428571428577)</f>
        <v>7.722007722007972E-3</v>
      </c>
      <c r="AM250" s="68">
        <f>IF($Z$3="yes", 0.316073999999999/$X250, 0.316073999999999)</f>
        <v>0.14237567567567522</v>
      </c>
      <c r="AN250" s="68">
        <f>IF($Z$3="yes", 0.151729000000001/$X250, 0.151729000000001)</f>
        <v>6.8346396396396836E-2</v>
      </c>
      <c r="AO250" s="68">
        <f>IF($Z$3="yes", 0.132934999999998/$X250, 0.132934999999998)</f>
        <v>5.9880630630629726E-2</v>
      </c>
      <c r="AP250" s="68">
        <f>IF($Z$3="yes", 0.342259999999996/$X250, 0.342259999999996)</f>
        <v>0.15417117117116935</v>
      </c>
      <c r="AQ250" s="68">
        <f>IF($Z$3="yes", 0.332324999999999/$X250, 0.332324999999999)</f>
        <v>0.14969594594594549</v>
      </c>
      <c r="AR250" s="68">
        <f>IF($Z$3="yes", 0.352024999999998/$X250, 0.352024999999998)</f>
        <v>0.15856981981981891</v>
      </c>
      <c r="AS250" s="68">
        <f>IF($Z$3="yes", 0.467803000000001/$X250, 0.467803000000001)</f>
        <v>0.21072207207207252</v>
      </c>
      <c r="AT250" s="68">
        <f>IF($Z$3="yes", 0.183139000000001/$X250, 0.183139000000001)</f>
        <v>8.2495045045045484E-2</v>
      </c>
      <c r="AU250" s="88">
        <f>IF($Z$3="yes", 0.658333999999996/$X250, 0.658333999999996)</f>
        <v>0.29654684684684501</v>
      </c>
      <c r="AV250" s="88">
        <f>IF($Z$3="yes", 0.648398999999999/$X250, 0.648398999999999)</f>
        <v>0.29207162162162115</v>
      </c>
      <c r="AW250" s="88">
        <f>IF($Z$3="yes", 0.668098999999998/$X250, 0.668098999999998)</f>
        <v>0.30094549549549454</v>
      </c>
      <c r="AX250" s="88">
        <f>IF($Z$3="yes", 0.284664/$X250, 0.284664)</f>
        <v>0.12822702702702701</v>
      </c>
      <c r="AY250" s="88">
        <f>IF($Z$3="yes", 0.475194999999994/$X250, 0.475194999999994)</f>
        <v>0.21405180180179909</v>
      </c>
      <c r="AZ250" s="88">
        <f>IF($Z$3="yes", 0.465259999999997/$X250, 0.465259999999997)</f>
        <v>0.20957657657657522</v>
      </c>
      <c r="BA250" s="88">
        <f>IF($Z$3="yes", 0.484959999999997/$X250, 0.484959999999997)</f>
        <v>0.21845045045044909</v>
      </c>
      <c r="BB250" s="88">
        <f>IF($Z$3="yes", 0.190530999999994/$X250, 0.190530999999994)</f>
        <v>8.5824774774772072E-2</v>
      </c>
      <c r="BC250" s="88">
        <f>IF($Z$3="yes", 0.180595999999997/$X250, 0.180595999999997)</f>
        <v>8.1349549549548192E-2</v>
      </c>
      <c r="BD250" s="88">
        <f>IF($Z$3="yes", 0.200295999999997/$X250, 0.200295999999997)</f>
        <v>9.0223423423422072E-2</v>
      </c>
      <c r="BE250" s="88">
        <f>IF($Z$3="yes", 0.00993499999999691/$X250, 0.00993499999999691)</f>
        <v>4.4752252252238328E-3</v>
      </c>
      <c r="BF250" s="88">
        <f>IF($Z$3="yes", 0.00976500000000291/$X250, 0.00976500000000291)</f>
        <v>4.3986486486499591E-3</v>
      </c>
      <c r="BG250" s="88">
        <f>IF($Z$3="yes", 0.0196999999999998/$X250, 0.0196999999999998)</f>
        <v>8.8738738738737832E-3</v>
      </c>
      <c r="BH250" s="88">
        <f>IF($Z$3="yes", 0.491710523809522/$X250, 0.491710523809522)</f>
        <v>0.22149122694122611</v>
      </c>
      <c r="BI250" s="68"/>
      <c r="BJ250" s="68"/>
      <c r="BK250" s="68">
        <f>IF($BL$3="yes", MAX(0, (79858 - 60006) / 22639.4282878344), 60006)</f>
        <v>60006</v>
      </c>
      <c r="BL250" s="68">
        <f>IF($BL$3="yes", MAX(0, (79858 - 44236.5) / 23925.5354182513), 44236.5)</f>
        <v>44236.5</v>
      </c>
      <c r="BM250" s="68">
        <f>IF($BL$3="yes", MAX(0, (79858 - 51706) / 47656.2492785573), 51706)</f>
        <v>51706</v>
      </c>
      <c r="BN250" s="68">
        <f>IF($BL$3="yes", MAX(0, (79858 - 95382.82) / 119619.543181654), 95382.82)</f>
        <v>95382.82</v>
      </c>
      <c r="BO250" s="68">
        <f>IF($BL$3="yes", MAX(0, (79858 - 86966.78) / 125565.893446395), 86966.78)</f>
        <v>86966.78</v>
      </c>
      <c r="BP250" s="68">
        <f>IF($BL$3="yes", MAX(0, (79858 - 381367.575) / 4016106.9468662), 381367.575)</f>
        <v>381367.57500000001</v>
      </c>
      <c r="BQ250" s="68">
        <v>52.813588046993438</v>
      </c>
      <c r="BR250" s="68"/>
      <c r="BS250" s="68"/>
      <c r="BT250" s="68">
        <v>-50416087.497600473</v>
      </c>
      <c r="BU250" s="68">
        <v>17124.685727141801</v>
      </c>
      <c r="BV250" s="68">
        <f>IF($Z$3="yes", 0.171501304035178/$X250, 0.171501304035178)</f>
        <v>7.7252839655485572E-2</v>
      </c>
      <c r="BW250" s="68">
        <f>IF($Z$3="yes", 0.237462245174621/$X250, 0.237462245174621)</f>
        <v>0.10696497530388333</v>
      </c>
      <c r="BX250" s="68">
        <f>$BW$109 - $BV$109</f>
        <v>5.2292154797134505E-2</v>
      </c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  <c r="CO250" s="68"/>
      <c r="CP250" s="68"/>
      <c r="CQ250" s="81"/>
      <c r="CR250" s="81"/>
      <c r="CS250" s="68"/>
      <c r="CT250" s="68"/>
      <c r="CU250" s="68"/>
    </row>
    <row r="251" spans="1:99" ht="15.75" customHeight="1" thickBot="1" x14ac:dyDescent="0.3">
      <c r="A251" s="84" t="s">
        <v>194</v>
      </c>
      <c r="B251" s="67" t="s">
        <v>128</v>
      </c>
      <c r="C251" s="83" t="s">
        <v>611</v>
      </c>
      <c r="D251" s="67" t="s">
        <v>338</v>
      </c>
      <c r="E251" s="67">
        <v>1</v>
      </c>
      <c r="F251" s="85">
        <v>1.9</v>
      </c>
      <c r="G251" s="313">
        <v>44204</v>
      </c>
      <c r="H251" s="317">
        <v>1.97</v>
      </c>
      <c r="I251" s="85">
        <v>3.38</v>
      </c>
      <c r="J251" s="313">
        <v>44244</v>
      </c>
      <c r="K251" s="162">
        <f t="shared" si="8"/>
        <v>3.6842105263158009E-2</v>
      </c>
      <c r="L251" s="158">
        <f t="shared" si="9"/>
        <v>0.77894736842105261</v>
      </c>
      <c r="M251" s="312">
        <v>44407</v>
      </c>
      <c r="N251" s="68"/>
      <c r="O251" s="291">
        <v>25617807</v>
      </c>
      <c r="P251" s="291">
        <v>6790000</v>
      </c>
      <c r="Q251" s="291">
        <v>38</v>
      </c>
      <c r="R251" s="68" t="s">
        <v>152</v>
      </c>
      <c r="S251" s="68"/>
      <c r="T251" s="68" t="s">
        <v>339</v>
      </c>
      <c r="U251" s="68">
        <v>120</v>
      </c>
      <c r="V251" s="68">
        <v>233631</v>
      </c>
      <c r="W251" s="68"/>
      <c r="X251" s="68">
        <v>1.88</v>
      </c>
      <c r="Y251" s="68">
        <v>1.3407374999999999</v>
      </c>
      <c r="Z251" s="68">
        <v>1.432131</v>
      </c>
      <c r="AA251" s="68">
        <v>1.701084</v>
      </c>
      <c r="AB251" s="68">
        <v>1.6106360000000011</v>
      </c>
      <c r="AC251" s="68">
        <v>1.9455</v>
      </c>
      <c r="AD251" s="68">
        <v>1.899999999999999</v>
      </c>
      <c r="AE251" s="68">
        <v>1.8274999999999999</v>
      </c>
      <c r="AF251" s="68">
        <f>IF($Z$3="yes", 0.00448046883672087/$X251, 0.00448046883672087)</f>
        <v>2.383228104638761E-3</v>
      </c>
      <c r="AG251" s="68">
        <f>IF($Z$3="yes", 0.0101867068706869/$X251, 0.0101867068706869)</f>
        <v>5.4184611014292021E-3</v>
      </c>
      <c r="AH251" s="68">
        <f>IF($Z$3="yes", 0.0165630828331333/$X251, 0.0165630828331333)</f>
        <v>8.8101504431560094E-3</v>
      </c>
      <c r="AI251" s="68">
        <f>IF($Z$3="yes", 0.0181787755102041/$X251, 0.0181787755102041)</f>
        <v>9.669561441597925E-3</v>
      </c>
      <c r="AJ251" s="68">
        <f>IF($Z$3="yes", -0.0143684210526291/$X251, -0.0143684210526291)</f>
        <v>-7.6427771556537771E-3</v>
      </c>
      <c r="AK251" s="68">
        <f>IF($Z$3="yes", -0.0153846153846102/$X251, -0.0153846153846102)</f>
        <v>-8.1833060556437236E-3</v>
      </c>
      <c r="AL251" s="68">
        <f>IF($Z$3="yes", 0.0214285714285712/$X251, 0.0214285714285712)</f>
        <v>1.1398176291793191E-2</v>
      </c>
      <c r="AM251" s="68">
        <f>IF($Z$3="yes", 0.0913935000000003/$X251, 0.0913935000000003)</f>
        <v>4.861356382978739E-2</v>
      </c>
      <c r="AN251" s="68">
        <f>IF($Z$3="yes", 0.3603465/$X251, 0.3603465)</f>
        <v>0.19167367021276596</v>
      </c>
      <c r="AO251" s="68">
        <f>IF($Z$3="yes", 0.2698985/$X251, 0.2698985)</f>
        <v>0.14356303191489361</v>
      </c>
      <c r="AP251" s="68">
        <f>IF($Z$3="yes", 0.6047625/$X251, 0.6047625)</f>
        <v>0.32168218085106381</v>
      </c>
      <c r="AQ251" s="68">
        <f>IF($Z$3="yes", 0.559262499999998/$X251, 0.559262499999998)</f>
        <v>0.29748005319148829</v>
      </c>
      <c r="AR251" s="68">
        <f>IF($Z$3="yes", 0.4867625/$X251, 0.4867625)</f>
        <v>0.25891622340425535</v>
      </c>
      <c r="AS251" s="68">
        <f>IF($Z$3="yes", 0.268952999999999/$X251, 0.268952999999999)</f>
        <v>0.1430601063829782</v>
      </c>
      <c r="AT251" s="68">
        <f>IF($Z$3="yes", 0.178505/$X251, 0.178505)</f>
        <v>9.4949468085106389E-2</v>
      </c>
      <c r="AU251" s="88">
        <f>IF($Z$3="yes", 0.513368999999999/$X251, 0.513368999999999)</f>
        <v>0.27306861702127605</v>
      </c>
      <c r="AV251" s="88">
        <f>IF($Z$3="yes", 0.467868999999998/$X251, 0.467868999999998)</f>
        <v>0.24886648936170105</v>
      </c>
      <c r="AW251" s="88">
        <f>IF($Z$3="yes", 0.395368999999999/$X251, 0.395368999999999)</f>
        <v>0.21030265957446759</v>
      </c>
      <c r="AX251" s="88">
        <f>IF($Z$3="yes", 0.0904479999999996/$X251, 0.0904479999999996)</f>
        <v>4.8110638297872127E-2</v>
      </c>
      <c r="AY251" s="88">
        <f>IF($Z$3="yes", 0.334863999999999/$X251, 0.334863999999999)</f>
        <v>0.1781191489361697</v>
      </c>
      <c r="AZ251" s="88">
        <f>IF($Z$3="yes", 0.289363999999998/$X251, 0.289363999999998)</f>
        <v>0.15391702127659471</v>
      </c>
      <c r="BA251" s="88">
        <f>IF($Z$3="yes", 0.216863999999999/$X251, 0.216863999999999)</f>
        <v>0.11535319148936118</v>
      </c>
      <c r="BB251" s="88">
        <f>IF($Z$3="yes", 0.244415999999999/$X251, 0.244415999999999)</f>
        <v>0.13000851063829735</v>
      </c>
      <c r="BC251" s="88">
        <f>IF($Z$3="yes", 0.198915999999998/$X251, 0.198915999999998)</f>
        <v>0.10580638297872236</v>
      </c>
      <c r="BD251" s="88">
        <f>IF($Z$3="yes", 0.126415999999999/$X251, 0.126415999999999)</f>
        <v>6.7242553191488835E-2</v>
      </c>
      <c r="BE251" s="88">
        <f>IF($Z$3="yes", 0.0455000000000012/$X251, 0.0455000000000012)</f>
        <v>2.4202127659575107E-2</v>
      </c>
      <c r="BF251" s="88">
        <f>IF($Z$3="yes", 0.118/$X251, 0.118)</f>
        <v>6.2765957446808504E-2</v>
      </c>
      <c r="BG251" s="88">
        <f>IF($Z$3="yes", 0.0724999999999989/$X251, 0.0724999999999989)</f>
        <v>3.856382978723346E-2</v>
      </c>
      <c r="BH251" s="88">
        <f>IF($Z$3="yes", 0.438549476190475/$X251, 0.438549476190475)</f>
        <v>0.23327099797365694</v>
      </c>
      <c r="BI251" s="68"/>
      <c r="BJ251" s="68"/>
      <c r="BK251" s="68">
        <f>IF($BL$3="yes", MAX(0, (233631 - 299069.2) / 252141.419000845), 299069.2)</f>
        <v>299069.2</v>
      </c>
      <c r="BL251" s="68">
        <f>IF($BL$3="yes", MAX(0, (233631 - 253327.4) / 203279.590503916), 253327.4)</f>
        <v>253327.4</v>
      </c>
      <c r="BM251" s="68">
        <f>IF($BL$3="yes", MAX(0, (233631 - 378277.55) / 259270.880633455), 378277.55)</f>
        <v>378277.55</v>
      </c>
      <c r="BN251" s="68">
        <f>IF($BL$3="yes", MAX(0, (233631 - 2799670.52) / 17112701.2461455), 2799670.52)</f>
        <v>2799670.52</v>
      </c>
      <c r="BO251" s="68">
        <f>IF($BL$3="yes", MAX(0, (233631 - 1544919.535) / 12210664.024326), 1544919.535)</f>
        <v>1544919.5349999999</v>
      </c>
      <c r="BP251" s="68">
        <f>IF($BL$3="yes", MAX(0, (233631 - 860969.7775) / 8675119.68898325), 860969.7775)</f>
        <v>860969.77749999997</v>
      </c>
      <c r="BQ251" s="68">
        <v>51.020388032381959</v>
      </c>
      <c r="BR251" s="68"/>
      <c r="BS251" s="68"/>
      <c r="BT251" s="68">
        <v>-113008542.7561478</v>
      </c>
      <c r="BU251" s="68">
        <v>155048.58861684799</v>
      </c>
      <c r="BV251" s="68">
        <f>IF($Z$3="yes", 0.228923225089693/$X251, 0.228923225089693)</f>
        <v>0.12176767292004947</v>
      </c>
      <c r="BW251" s="68">
        <f>IF($Z$3="yes", 0.235455730072865/$X251, 0.235455730072865)</f>
        <v>0.12524240961322608</v>
      </c>
      <c r="BX251" s="68">
        <f>$BW$110 - $BV$110</f>
        <v>1.5916381411815367E-2</v>
      </c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  <c r="CQ251" s="81"/>
      <c r="CR251" s="81"/>
      <c r="CS251" s="68"/>
      <c r="CT251" s="68"/>
      <c r="CU251" s="68"/>
    </row>
    <row r="252" spans="1:99" ht="15.75" customHeight="1" thickBot="1" x14ac:dyDescent="0.3">
      <c r="A252" s="84"/>
      <c r="B252" s="67" t="s">
        <v>128</v>
      </c>
      <c r="C252" s="83" t="s">
        <v>611</v>
      </c>
      <c r="D252" s="67" t="s">
        <v>502</v>
      </c>
      <c r="E252" s="67">
        <v>1</v>
      </c>
      <c r="F252" s="85">
        <v>2.1</v>
      </c>
      <c r="G252" s="313">
        <v>44204</v>
      </c>
      <c r="H252" s="317">
        <v>8.2799999999999994</v>
      </c>
      <c r="I252" s="317">
        <v>27.26</v>
      </c>
      <c r="J252" s="313">
        <v>44383</v>
      </c>
      <c r="K252" s="244">
        <f t="shared" si="8"/>
        <v>2.9428571428571422</v>
      </c>
      <c r="L252" s="245">
        <f t="shared" si="9"/>
        <v>11.980952380952381</v>
      </c>
      <c r="M252" s="312">
        <v>44407</v>
      </c>
      <c r="N252" s="68"/>
      <c r="O252" s="291">
        <v>10967328</v>
      </c>
      <c r="P252" s="291">
        <v>9860000</v>
      </c>
      <c r="Q252" s="291">
        <v>179</v>
      </c>
      <c r="R252" s="68" t="s">
        <v>131</v>
      </c>
      <c r="S252" s="68" t="s">
        <v>135</v>
      </c>
      <c r="T252" s="68" t="s">
        <v>133</v>
      </c>
      <c r="U252" s="68">
        <v>136</v>
      </c>
      <c r="V252" s="68">
        <v>795481</v>
      </c>
      <c r="W252" s="68"/>
      <c r="X252" s="68">
        <v>2.1</v>
      </c>
      <c r="Y252" s="68">
        <v>1.616373499999999</v>
      </c>
      <c r="Z252" s="68">
        <v>1.7908040000000001</v>
      </c>
      <c r="AA252" s="68">
        <v>2.084499999999998</v>
      </c>
      <c r="AB252" s="68">
        <v>2.1196479999999989</v>
      </c>
      <c r="AC252" s="68">
        <v>2.0017500000000008</v>
      </c>
      <c r="AD252" s="68">
        <v>2.0374999999999979</v>
      </c>
      <c r="AE252" s="68">
        <v>2.0431249999999999</v>
      </c>
      <c r="AF252" s="68">
        <f>IF($Z$3="yes", 0.00398115885397136/$X252, 0.00398115885397136)</f>
        <v>1.8957899304625522E-3</v>
      </c>
      <c r="AG252" s="68">
        <f>IF($Z$3="yes", 0.0104164212421242/$X252, 0.0104164212421242)</f>
        <v>4.9602005914877135E-3</v>
      </c>
      <c r="AH252" s="68">
        <f>IF($Z$3="yes", -0.00502304921968709/$X252, -0.00502304921968709)</f>
        <v>-2.3919281998509949E-3</v>
      </c>
      <c r="AI252" s="68">
        <f>IF($Z$3="yes", -0.00404671308523343/$X252, -0.00404671308523343)</f>
        <v>-1.9270062310635381E-3</v>
      </c>
      <c r="AJ252" s="68">
        <f>IF($Z$3="yes", 0.00766541353383436/$X252, 0.00766541353383436)</f>
        <v>3.6501969208735047E-3</v>
      </c>
      <c r="AK252" s="68">
        <f>IF($Z$3="yes", 0.000604395604394519/$X252, 0.000604395604394519)</f>
        <v>2.8780743066405667E-4</v>
      </c>
      <c r="AL252" s="68">
        <f>IF($Z$3="yes", -0.00255952380952351/$X252, -0.00255952380952351)</f>
        <v>-1.2188208616778619E-3</v>
      </c>
      <c r="AM252" s="68">
        <f>IF($Z$3="yes", 0.1744305/$X252, 0.1744305)</f>
        <v>8.3062142857142848E-2</v>
      </c>
      <c r="AN252" s="68">
        <f>IF($Z$3="yes", 0.468126499999998/$X252, 0.468126499999998)</f>
        <v>0.22291738095237998</v>
      </c>
      <c r="AO252" s="68">
        <f>IF($Z$3="yes", 0.503274499999999/$X252, 0.503274499999999)</f>
        <v>0.23965452380952329</v>
      </c>
      <c r="AP252" s="68">
        <f>IF($Z$3="yes", 0.385376500000001/$X252, 0.385376500000001)</f>
        <v>0.18351261904761951</v>
      </c>
      <c r="AQ252" s="68">
        <f>IF($Z$3="yes", 0.421126499999998/$X252, 0.421126499999998)</f>
        <v>0.20053642857142762</v>
      </c>
      <c r="AR252" s="68">
        <f>IF($Z$3="yes", 0.4267515/$X252, 0.4267515)</f>
        <v>0.20321500000000001</v>
      </c>
      <c r="AS252" s="68">
        <f>IF($Z$3="yes", 0.293695999999997/$X252, 0.293695999999997)</f>
        <v>0.13985523809523667</v>
      </c>
      <c r="AT252" s="68">
        <f>IF($Z$3="yes", 0.328843999999998/$X252, 0.328843999999998)</f>
        <v>0.15659238095238001</v>
      </c>
      <c r="AU252" s="88">
        <f>IF($Z$3="yes", 0.210946/$X252, 0.210946)</f>
        <v>0.10045047619047619</v>
      </c>
      <c r="AV252" s="88">
        <f>IF($Z$3="yes", 0.246695999999998/$X252, 0.246695999999998)</f>
        <v>0.11747428571428475</v>
      </c>
      <c r="AW252" s="88">
        <f>IF($Z$3="yes", 0.252320999999999/$X252, 0.252320999999999)</f>
        <v>0.12015285714285667</v>
      </c>
      <c r="AX252" s="88">
        <f>IF($Z$3="yes", 0.0351480000000008/$X252, 0.0351480000000008)</f>
        <v>1.6737142857143235E-2</v>
      </c>
      <c r="AY252" s="88">
        <f>IF($Z$3="yes", 0.117897999999998/$X252, 0.117897999999998)</f>
        <v>5.614190476190381E-2</v>
      </c>
      <c r="AZ252" s="88">
        <f>IF($Z$3="yes", 0.0821480000000005/$X252, 0.0821480000000005)</f>
        <v>3.9118095238095472E-2</v>
      </c>
      <c r="BA252" s="88">
        <f>IF($Z$3="yes", 0.076522999999999/$X252, 0.076522999999999)</f>
        <v>3.6439523809523332E-2</v>
      </c>
      <c r="BB252" s="88">
        <f>IF($Z$3="yes", 0.0827499999999972/$X252, 0.0827499999999972)</f>
        <v>3.9404761904760569E-2</v>
      </c>
      <c r="BC252" s="88">
        <f>IF($Z$3="yes", 0.0469999999999997/$X252, 0.0469999999999997)</f>
        <v>2.2380952380952238E-2</v>
      </c>
      <c r="BD252" s="88">
        <f>IF($Z$3="yes", 0.0413749999999981/$X252, 0.0413749999999981)</f>
        <v>1.9702380952380048E-2</v>
      </c>
      <c r="BE252" s="88">
        <f>IF($Z$3="yes", 0.0357499999999975/$X252, 0.0357499999999975)</f>
        <v>1.7023809523808331E-2</v>
      </c>
      <c r="BF252" s="88">
        <f>IF($Z$3="yes", 0.041374999999999/$X252, 0.041374999999999)</f>
        <v>1.9702380952380475E-2</v>
      </c>
      <c r="BG252" s="88">
        <f>IF($Z$3="yes", 0.00562500000000154/$X252, 0.00562500000000154)</f>
        <v>2.678571428572162E-3</v>
      </c>
      <c r="BH252" s="88">
        <f>IF($Z$3="yes", 0.367392809523808/$X252, 0.367392809523808)</f>
        <v>0.17494895691609902</v>
      </c>
      <c r="BI252" s="68"/>
      <c r="BJ252" s="68"/>
      <c r="BK252" s="68">
        <f>IF($BL$3="yes", MAX(0, (795481 - 669570.8) / 524085.388669594), 669570.8)</f>
        <v>669570.80000000005</v>
      </c>
      <c r="BL252" s="68">
        <f>IF($BL$3="yes", MAX(0, (795481 - 632689.4) / 405998.338730887), 632689.4)</f>
        <v>632689.4</v>
      </c>
      <c r="BM252" s="68">
        <f>IF($BL$3="yes", MAX(0, (795481 - 698433.9) / 552072.030502261), 698433.9)</f>
        <v>698433.9</v>
      </c>
      <c r="BN252" s="68">
        <f>IF($BL$3="yes", MAX(0, (795481 - 1196556.22) / 1233447.88819595), 1196556.22)</f>
        <v>1196556.22</v>
      </c>
      <c r="BO252" s="68">
        <f>IF($BL$3="yes", MAX(0, (795481 - 3680495.55) / 18997130.6380842), 3680495.55)</f>
        <v>3680495.55</v>
      </c>
      <c r="BP252" s="68">
        <f>IF($BL$3="yes", MAX(0, (795481 - 1902297.49) / 13559506.9919527), 1902297.49)</f>
        <v>1902297.49</v>
      </c>
      <c r="BQ252" s="68">
        <v>53.929043936229192</v>
      </c>
      <c r="BR252" s="68"/>
      <c r="BS252" s="68"/>
      <c r="BT252" s="68">
        <v>-41949974.146029927</v>
      </c>
      <c r="BU252" s="68">
        <v>-290896.5750117451</v>
      </c>
      <c r="BV252" s="68">
        <f>IF($Z$3="yes", 0.163062514158939/$X252, 0.163062514158939)</f>
        <v>7.7648816266161422E-2</v>
      </c>
      <c r="BW252" s="68">
        <f>IF($Z$3="yes", 0.35063975135859/$X252, 0.35063975135859)</f>
        <v>0.16697131017075714</v>
      </c>
      <c r="BX252" s="68">
        <f>$BW$112 - $BV$112</f>
        <v>0.19752306078681683</v>
      </c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  <c r="CQ252" s="81"/>
      <c r="CR252" s="81"/>
      <c r="CS252" s="68"/>
      <c r="CT252" s="68"/>
      <c r="CU252" s="68"/>
    </row>
    <row r="253" spans="1:99" ht="15.75" customHeight="1" thickBot="1" x14ac:dyDescent="0.3">
      <c r="A253" s="84" t="s">
        <v>194</v>
      </c>
      <c r="B253" s="67" t="s">
        <v>128</v>
      </c>
      <c r="C253" s="83" t="s">
        <v>611</v>
      </c>
      <c r="D253" s="67" t="s">
        <v>616</v>
      </c>
      <c r="E253" s="67">
        <v>1</v>
      </c>
      <c r="F253" s="85">
        <v>2.4500000000000002</v>
      </c>
      <c r="G253" s="313">
        <v>44204</v>
      </c>
      <c r="H253" s="317">
        <v>1.06</v>
      </c>
      <c r="I253" s="85">
        <v>3.415</v>
      </c>
      <c r="J253" s="313">
        <v>44235</v>
      </c>
      <c r="K253" s="125">
        <f t="shared" si="8"/>
        <v>-0.56734693877551023</v>
      </c>
      <c r="L253" s="247">
        <f t="shared" si="9"/>
        <v>0.393877551020408</v>
      </c>
      <c r="M253" s="312">
        <v>44407</v>
      </c>
      <c r="N253" s="68"/>
      <c r="O253" s="291">
        <v>21197290</v>
      </c>
      <c r="P253" s="291">
        <v>19510000</v>
      </c>
      <c r="Q253" s="291">
        <v>29</v>
      </c>
      <c r="R253" s="68" t="s">
        <v>131</v>
      </c>
      <c r="S253" s="68" t="s">
        <v>479</v>
      </c>
      <c r="T253" s="68" t="s">
        <v>154</v>
      </c>
      <c r="U253" s="68">
        <v>100</v>
      </c>
      <c r="V253" s="68">
        <v>425567</v>
      </c>
      <c r="W253" s="68"/>
      <c r="X253" s="68">
        <v>2.42</v>
      </c>
      <c r="Y253" s="68">
        <v>3.275164999999999</v>
      </c>
      <c r="Z253" s="68">
        <v>2.5869</v>
      </c>
      <c r="AA253" s="68">
        <v>2.4904000000000011</v>
      </c>
      <c r="AB253" s="68">
        <v>2.5730000000000008</v>
      </c>
      <c r="AC253" s="68">
        <v>2.3969999999999998</v>
      </c>
      <c r="AD253" s="68">
        <v>2.324285714285713</v>
      </c>
      <c r="AE253" s="68">
        <v>2.3187500000000001</v>
      </c>
      <c r="AF253" s="68">
        <f>IF($Z$3="yes", -0.0129179437485937/$X253, -0.0129179437485937)</f>
        <v>-5.3379932845428512E-3</v>
      </c>
      <c r="AG253" s="68">
        <f>IF($Z$3="yes", -0.00348520852085222/$X253, -0.00348520852085222)</f>
        <v>-1.4401688102695124E-3</v>
      </c>
      <c r="AH253" s="68">
        <f>IF($Z$3="yes", -0.00461272509003646/$X253, -0.00461272509003646)</f>
        <v>-1.9060847479489503E-3</v>
      </c>
      <c r="AI253" s="68">
        <f>IF($Z$3="yes", -0.00444609843937614/$X253, -0.00444609843937614)</f>
        <v>-1.8372307600727853E-3</v>
      </c>
      <c r="AJ253" s="68">
        <f>IF($Z$3="yes", -0.0159849624060145/$X253, -0.0159849624060145)</f>
        <v>-6.6053563661216952E-3</v>
      </c>
      <c r="AK253" s="68">
        <f>IF($Z$3="yes", 0.00338461538462429/$X253, 0.00338461538462429)</f>
        <v>1.3986013986050786E-3</v>
      </c>
      <c r="AL253" s="68">
        <f>IF($Z$3="yes", 0.027261904761905/$X253, 0.027261904761905)</f>
        <v>1.1265249901613638E-2</v>
      </c>
      <c r="AM253" s="68">
        <f>IF($Z$3="yes", 0.688264999999998/$X253, 0.688264999999998)</f>
        <v>0.28440702479338764</v>
      </c>
      <c r="AN253" s="68">
        <f>IF($Z$3="yes", 0.784764999999998/$X253, 0.784764999999998)</f>
        <v>0.3242830578512389</v>
      </c>
      <c r="AO253" s="68">
        <f>IF($Z$3="yes", 0.702164999999998/$X253, 0.702164999999998)</f>
        <v>0.29015082644628021</v>
      </c>
      <c r="AP253" s="68">
        <f>IF($Z$3="yes", 0.878164999999998/$X253, 0.878164999999998)</f>
        <v>0.3628780991735529</v>
      </c>
      <c r="AQ253" s="68">
        <f>IF($Z$3="yes", 0.950879285714286/$X253, 0.950879285714286)</f>
        <v>0.39292532467532482</v>
      </c>
      <c r="AR253" s="68">
        <f>IF($Z$3="yes", 0.956414999999998/$X253, 0.956414999999998)</f>
        <v>0.39521280991735458</v>
      </c>
      <c r="AS253" s="68">
        <f>IF($Z$3="yes", 0.0964999999999998/$X253, 0.0964999999999998)</f>
        <v>3.9876033057851153E-2</v>
      </c>
      <c r="AT253" s="68">
        <f>IF($Z$3="yes", 0.0138999999999995/$X253, 0.0138999999999995)</f>
        <v>5.7438016528923554E-3</v>
      </c>
      <c r="AU253" s="88">
        <f>IF($Z$3="yes", 0.1899/$X253, 0.1899)</f>
        <v>7.8471074380165304E-2</v>
      </c>
      <c r="AV253" s="88">
        <f>IF($Z$3="yes", 0.262614285714287/$X253, 0.262614285714287)</f>
        <v>0.10851829988193679</v>
      </c>
      <c r="AW253" s="88">
        <f>IF($Z$3="yes", 0.26815/$X253, 0.26815)</f>
        <v>0.11080578512396695</v>
      </c>
      <c r="AX253" s="88">
        <f>IF($Z$3="yes", 0.0826000000000002/$X253, 0.0826000000000002)</f>
        <v>3.413223140495876E-2</v>
      </c>
      <c r="AY253" s="88">
        <f>IF($Z$3="yes", 0.176/$X253, 0.176)</f>
        <v>7.2727272727272724E-2</v>
      </c>
      <c r="AZ253" s="88">
        <f>IF($Z$3="yes", 0.248714285714288/$X253, 0.248714285714288)</f>
        <v>0.10277449822904464</v>
      </c>
      <c r="BA253" s="88">
        <f>IF($Z$3="yes", 0.25425/$X253, 0.25425)</f>
        <v>0.10506198347107437</v>
      </c>
      <c r="BB253" s="88">
        <f>IF($Z$3="yes", 0.0934000000000003/$X253, 0.0934000000000003)</f>
        <v>3.8595041322314179E-2</v>
      </c>
      <c r="BC253" s="88">
        <f>IF($Z$3="yes", 0.166114285714288/$X253, 0.166114285714288)</f>
        <v>6.8642266824085946E-2</v>
      </c>
      <c r="BD253" s="88">
        <f>IF($Z$3="yes", 0.17165/$X253, 0.17165)</f>
        <v>7.0929752066115709E-2</v>
      </c>
      <c r="BE253" s="88">
        <f>IF($Z$3="yes", 0.0727142857142877/$X253, 0.0727142857142877)</f>
        <v>3.0047225501771777E-2</v>
      </c>
      <c r="BF253" s="88">
        <f>IF($Z$3="yes", 0.0782500000000001/$X253, 0.0782500000000001)</f>
        <v>3.2334710743801696E-2</v>
      </c>
      <c r="BG253" s="88">
        <f>IF($Z$3="yes", 0.00553571428571242/$X253, 0.00553571428571242)</f>
        <v>2.2874852420299257E-3</v>
      </c>
      <c r="BH253" s="88">
        <f>IF($Z$3="yes", 0.490997755102041/$X253, 0.490997755102041)</f>
        <v>0.20289163433968638</v>
      </c>
      <c r="BI253" s="68"/>
      <c r="BJ253" s="68"/>
      <c r="BK253" s="68">
        <f>IF($BL$3="yes", MAX(0, (425567 - 625682) / 381223.829547944), 625682)</f>
        <v>625682</v>
      </c>
      <c r="BL253" s="68">
        <f>IF($BL$3="yes", MAX(0, (425567 - 598305.5) / 296938.646406374), 598305.5)</f>
        <v>598305.5</v>
      </c>
      <c r="BM253" s="68">
        <f>IF($BL$3="yes", MAX(0, (425567 - 688244.05) / 352984.969584467), 688244.05)</f>
        <v>688244.05</v>
      </c>
      <c r="BN253" s="68">
        <f>IF($BL$3="yes", MAX(0, (425567 - 780437.06) / 728713.968968632), 780437.06)</f>
        <v>780437.06</v>
      </c>
      <c r="BO253" s="68">
        <f>IF($BL$3="yes", MAX(0, (425567 - 1739941.88) / 9164366.49958753), 1739941.88)</f>
        <v>1739941.88</v>
      </c>
      <c r="BP253" s="68">
        <f>IF($BL$3="yes", MAX(0, (425567 - 2158137.26) / 11396447.6627973), 2158137.26)</f>
        <v>2158137.2599999998</v>
      </c>
      <c r="BQ253" s="68">
        <v>50.006751786742377</v>
      </c>
      <c r="BR253" s="68"/>
      <c r="BS253" s="68"/>
      <c r="BT253" s="68">
        <v>-137600336.46751121</v>
      </c>
      <c r="BU253" s="68">
        <v>-259812.32232183221</v>
      </c>
      <c r="BV253" s="68">
        <f>IF($Z$3="yes", 0.1301669657583/$X253, 0.1301669657583)</f>
        <v>5.378800237946281E-2</v>
      </c>
      <c r="BW253" s="68">
        <f>IF($Z$3="yes", 0.154340331765796/$X253, 0.154340331765796)</f>
        <v>6.3776996597436367E-2</v>
      </c>
      <c r="BX253" s="68">
        <f>$BW$114 - $BV$114</f>
        <v>0.14377363777458541</v>
      </c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  <c r="CO253" s="68"/>
      <c r="CP253" s="68"/>
      <c r="CQ253" s="81"/>
      <c r="CR253" s="81"/>
      <c r="CS253" s="68"/>
      <c r="CT253" s="68"/>
      <c r="CU253" s="68"/>
    </row>
    <row r="254" spans="1:99" ht="15.75" customHeight="1" thickBot="1" x14ac:dyDescent="0.3">
      <c r="A254" s="84" t="s">
        <v>194</v>
      </c>
      <c r="B254" s="67" t="s">
        <v>128</v>
      </c>
      <c r="C254" s="83" t="s">
        <v>611</v>
      </c>
      <c r="D254" s="67" t="s">
        <v>617</v>
      </c>
      <c r="E254" s="67">
        <v>1</v>
      </c>
      <c r="F254" s="85">
        <v>0.55000000000000004</v>
      </c>
      <c r="G254" s="313">
        <v>44204</v>
      </c>
      <c r="H254" s="317">
        <v>0.81</v>
      </c>
      <c r="I254" s="85">
        <v>1.63</v>
      </c>
      <c r="J254" s="313">
        <v>44284</v>
      </c>
      <c r="K254" s="120">
        <f t="shared" si="8"/>
        <v>0.47272727272727266</v>
      </c>
      <c r="L254" s="149">
        <f t="shared" si="9"/>
        <v>1.9636363636363634</v>
      </c>
      <c r="M254" s="312">
        <v>44407</v>
      </c>
      <c r="N254" s="68"/>
      <c r="O254" s="291">
        <v>43579557</v>
      </c>
      <c r="P254" s="291">
        <v>19940000</v>
      </c>
      <c r="Q254" s="291">
        <v>78</v>
      </c>
      <c r="R254" s="68" t="s">
        <v>152</v>
      </c>
      <c r="S254" s="68" t="s">
        <v>148</v>
      </c>
      <c r="T254" s="67" t="s">
        <v>271</v>
      </c>
      <c r="U254" s="68">
        <v>140</v>
      </c>
      <c r="V254" s="68">
        <v>657707</v>
      </c>
      <c r="W254" s="68"/>
      <c r="X254" s="68">
        <v>0.53110000000000002</v>
      </c>
      <c r="Y254" s="68">
        <v>0.46623900000000018</v>
      </c>
      <c r="Z254" s="68">
        <v>0.42072200000000021</v>
      </c>
      <c r="AA254" s="68">
        <v>0.44703000000000009</v>
      </c>
      <c r="AB254" s="68">
        <v>0.4347120000000001</v>
      </c>
      <c r="AC254" s="68">
        <v>0.47056000000000009</v>
      </c>
      <c r="AD254" s="68">
        <v>0.48249285714285739</v>
      </c>
      <c r="AE254" s="68">
        <v>0.50712500000000005</v>
      </c>
      <c r="AF254" s="68">
        <f>IF($Z$3="yes", -0.000421876546913709/$X254, -0.000421876546913709)</f>
        <v>-7.9434484449954614E-4</v>
      </c>
      <c r="AG254" s="68">
        <f>IF($Z$3="yes", 0.00114137533753374/$X254, 0.00114137533753374)</f>
        <v>2.1490780220932777E-3</v>
      </c>
      <c r="AH254" s="68">
        <f>IF($Z$3="yes", 0.00224987755102039/$X254, 0.00224987755102039)</f>
        <v>4.2362597458489738E-3</v>
      </c>
      <c r="AI254" s="68">
        <f>IF($Z$3="yes", 0.00078715966386555/$X254, 0.00078715966386555)</f>
        <v>1.482130792441254E-3</v>
      </c>
      <c r="AJ254" s="68">
        <f>IF($Z$3="yes", 0.0059646616541357/$X254, 0.0059646616541357)</f>
        <v>1.1230769448570325E-2</v>
      </c>
      <c r="AK254" s="68">
        <f>IF($Z$3="yes", 0.0100692307692299/$X254, 0.0100692307692299)</f>
        <v>1.8959199339540388E-2</v>
      </c>
      <c r="AL254" s="68">
        <f>IF($Z$3="yes", 0.0159785714285713/$X254, 0.0159785714285713)</f>
        <v>3.0085805740107888E-2</v>
      </c>
      <c r="AM254" s="68">
        <f>IF($Z$3="yes", 0.045517/$X254, 0.045517)</f>
        <v>8.5703257390321974E-2</v>
      </c>
      <c r="AN254" s="68">
        <f>IF($Z$3="yes", 0.0192090000000001/$X254, 0.0192090000000001)</f>
        <v>3.6168329881378462E-2</v>
      </c>
      <c r="AO254" s="68">
        <f>IF($Z$3="yes", 0.0315270000000001/$X254, 0.0315270000000001)</f>
        <v>5.9361702127659753E-2</v>
      </c>
      <c r="AP254" s="68">
        <f>IF($Z$3="yes", 0.00432099999999985/$X254, 0.00432099999999985)</f>
        <v>8.1359442666161744E-3</v>
      </c>
      <c r="AQ254" s="68">
        <f>IF($Z$3="yes", 0.0162538571428571/$X254, 0.0162538571428571)</f>
        <v>3.0604136966403881E-2</v>
      </c>
      <c r="AR254" s="68">
        <f>IF($Z$3="yes", 0.0408859999999998/$X254, 0.0408859999999998)</f>
        <v>7.6983618904160792E-2</v>
      </c>
      <c r="AS254" s="68">
        <f>IF($Z$3="yes", 0.0263079999999999/$X254, 0.0263079999999999)</f>
        <v>4.9534927508943512E-2</v>
      </c>
      <c r="AT254" s="68">
        <f>IF($Z$3="yes", 0.0139899999999999/$X254, 0.0139899999999999)</f>
        <v>2.6341555262662211E-2</v>
      </c>
      <c r="AU254" s="88">
        <f>IF($Z$3="yes", 0.0498379999999999/$X254, 0.0498379999999999)</f>
        <v>9.3839201656938251E-2</v>
      </c>
      <c r="AV254" s="88">
        <f>IF($Z$3="yes", 0.0617708571428572/$X254, 0.0617708571428572)</f>
        <v>0.11630739435672603</v>
      </c>
      <c r="AW254" s="88">
        <f>IF($Z$3="yes", 0.0864029999999999/$X254, 0.0864029999999999)</f>
        <v>0.16268687629448295</v>
      </c>
      <c r="AX254" s="88">
        <f>IF($Z$3="yes", 0.0123179999999999/$X254, 0.0123179999999999)</f>
        <v>2.3193372246281114E-2</v>
      </c>
      <c r="AY254" s="88">
        <f>IF($Z$3="yes", 0.0358479999999999/$X254, 0.0358479999999999)</f>
        <v>6.7497646394275843E-2</v>
      </c>
      <c r="AZ254" s="88">
        <f>IF($Z$3="yes", 0.0477808571428572/$X254, 0.0477808571428572)</f>
        <v>8.9965839094063638E-2</v>
      </c>
      <c r="BA254" s="88">
        <f>IF($Z$3="yes", 0.0724129999999999/$X254, 0.0724129999999999)</f>
        <v>0.13634532103182054</v>
      </c>
      <c r="BB254" s="88">
        <f>IF($Z$3="yes", 0.0235299999999999/$X254, 0.0235299999999999)</f>
        <v>4.4304274147994545E-2</v>
      </c>
      <c r="BC254" s="88">
        <f>IF($Z$3="yes", 0.0354628571428572/$X254, 0.0354628571428572)</f>
        <v>6.6772466847782333E-2</v>
      </c>
      <c r="BD254" s="88">
        <f>IF($Z$3="yes", 0.0600949999999999/$X254, 0.0600949999999999)</f>
        <v>0.11315194878553925</v>
      </c>
      <c r="BE254" s="88">
        <f>IF($Z$3="yes", 0.0119328571428573/$X254, 0.0119328571428573)</f>
        <v>2.2468192699787799E-2</v>
      </c>
      <c r="BF254" s="88">
        <f>IF($Z$3="yes", 0.0365649999999999/$X254, 0.0365649999999999)</f>
        <v>6.8847674637544529E-2</v>
      </c>
      <c r="BG254" s="88">
        <f>IF($Z$3="yes", 0.0246321428571426/$X254, 0.0246321428571426)</f>
        <v>4.6379481937756727E-2</v>
      </c>
      <c r="BH254" s="88">
        <f>IF($Z$3="yes", 0.0800711088435374/$X254, 0.0800711088435374)</f>
        <v>0.15076465607896328</v>
      </c>
      <c r="BI254" s="68"/>
      <c r="BJ254" s="68"/>
      <c r="BK254" s="68">
        <f>IF($BL$3="yes", MAX(0, (657707 - 1744631.2) / 912587.147458783), 1744631.2)</f>
        <v>1744631.2</v>
      </c>
      <c r="BL254" s="68">
        <f>IF($BL$3="yes", MAX(0, (657707 - 1224921.5) / 949752.314670856), 1224921.5)</f>
        <v>1224921.5</v>
      </c>
      <c r="BM254" s="68">
        <f>IF($BL$3="yes", MAX(0, (657707 - 842137.6) / 834706.804855896), 842137.6)</f>
        <v>842137.59999999998</v>
      </c>
      <c r="BN254" s="68">
        <f>IF($BL$3="yes", MAX(0, (657707 - 719187.64) / 834854.280830535), 719187.64)</f>
        <v>719187.64</v>
      </c>
      <c r="BO254" s="68">
        <f>IF($BL$3="yes", MAX(0, (657707 - 578591.83) / 754873.045386945), 578591.83)</f>
        <v>578591.82999999996</v>
      </c>
      <c r="BP254" s="68">
        <f>IF($BL$3="yes", MAX(0, (657707 - 1125579.95) / 1692257.42861444), 1125579.95)</f>
        <v>1125579.95</v>
      </c>
      <c r="BQ254" s="68">
        <v>59.048582776759417</v>
      </c>
      <c r="BR254" s="68"/>
      <c r="BS254" s="68"/>
      <c r="BT254" s="68">
        <v>-5379294.7371275257</v>
      </c>
      <c r="BU254" s="68">
        <v>-47979.489068793133</v>
      </c>
      <c r="BV254" s="68">
        <f>IF($Z$3="yes", 0.0506179063919136/$X254, 0.0506179063919136)</f>
        <v>9.53076753754728E-2</v>
      </c>
      <c r="BW254" s="68">
        <f>IF($Z$3="yes", 0.0411582611886268/$X254, 0.0411582611886268)</f>
        <v>7.7496255297734518E-2</v>
      </c>
      <c r="BX254" s="68">
        <f>$BW$106 - $BV$106</f>
        <v>6.3485063515778511E-2</v>
      </c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81"/>
      <c r="CR254" s="81"/>
      <c r="CS254" s="68"/>
      <c r="CT254" s="68"/>
      <c r="CU254" s="68"/>
    </row>
    <row r="255" spans="1:99" ht="15.75" customHeight="1" thickBot="1" x14ac:dyDescent="0.3">
      <c r="A255" s="84" t="s">
        <v>194</v>
      </c>
      <c r="B255" s="67" t="s">
        <v>128</v>
      </c>
      <c r="C255" s="83" t="s">
        <v>611</v>
      </c>
      <c r="D255" s="67" t="s">
        <v>573</v>
      </c>
      <c r="E255" s="67">
        <v>1</v>
      </c>
      <c r="F255" s="85">
        <v>1.23</v>
      </c>
      <c r="G255" s="313">
        <v>44204</v>
      </c>
      <c r="H255" s="317">
        <v>0.92</v>
      </c>
      <c r="I255" s="85">
        <v>2.99</v>
      </c>
      <c r="J255" s="313">
        <v>44244</v>
      </c>
      <c r="K255" s="125">
        <f t="shared" si="8"/>
        <v>-0.25203252032520318</v>
      </c>
      <c r="L255" s="246">
        <f t="shared" si="9"/>
        <v>1.4308943089430897</v>
      </c>
      <c r="M255" s="312">
        <v>44407</v>
      </c>
      <c r="N255" s="68"/>
      <c r="O255" s="291">
        <v>36058816</v>
      </c>
      <c r="P255" s="291">
        <v>25900000</v>
      </c>
      <c r="Q255" s="291">
        <v>38</v>
      </c>
      <c r="R255" s="68" t="s">
        <v>152</v>
      </c>
      <c r="S255" s="68" t="s">
        <v>281</v>
      </c>
      <c r="T255" s="68" t="s">
        <v>297</v>
      </c>
      <c r="U255" s="68">
        <v>68</v>
      </c>
      <c r="V255" s="68">
        <v>914892</v>
      </c>
      <c r="W255" s="68"/>
      <c r="X255" s="68">
        <v>1.21</v>
      </c>
      <c r="Y255" s="68">
        <v>1.0715644999999989</v>
      </c>
      <c r="Z255" s="68">
        <v>0.95086400000000026</v>
      </c>
      <c r="AA255" s="68">
        <v>0.94377999999999973</v>
      </c>
      <c r="AB255" s="68">
        <v>0.97479199999999966</v>
      </c>
      <c r="AC255" s="68">
        <v>1.0036050000000001</v>
      </c>
      <c r="AD255" s="68">
        <v>1.025499999999999</v>
      </c>
      <c r="AE255" s="68">
        <v>1.0241125</v>
      </c>
      <c r="AF255" s="68">
        <f>IF($Z$3="yes", -0.00190325860646507/$X255, -0.00190325860646507)</f>
        <v>-1.5729409970785702E-3</v>
      </c>
      <c r="AG255" s="68">
        <f>IF($Z$3="yes", 0.000994802280227967/$X255, 0.000994802280227967)</f>
        <v>8.2215064481650174E-4</v>
      </c>
      <c r="AH255" s="68">
        <f>IF($Z$3="yes", 0.00429264825930384/$X255, 0.00429264825930384)</f>
        <v>3.5476431895073062E-3</v>
      </c>
      <c r="AI255" s="68">
        <f>IF($Z$3="yes", -0.00269519327731076/$X255, -0.00269519327731076)</f>
        <v>-2.2274324605874051E-3</v>
      </c>
      <c r="AJ255" s="68">
        <f>IF($Z$3="yes", 0.00667571428571704/$X255, 0.00667571428571704)</f>
        <v>5.5171192443942488E-3</v>
      </c>
      <c r="AK255" s="68">
        <f>IF($Z$3="yes", 0.00549186813187329/$X255, 0.00549186813187329)</f>
        <v>4.538733993283711E-3</v>
      </c>
      <c r="AL255" s="68">
        <f>IF($Z$3="yes", 0.0314988095238096/$X255, 0.0314988095238096)</f>
        <v>2.6032073986619508E-2</v>
      </c>
      <c r="AM255" s="68">
        <f>IF($Z$3="yes", 0.120700499999998/$X255, 0.120700499999998)</f>
        <v>9.9752479338841335E-2</v>
      </c>
      <c r="AN255" s="68">
        <f>IF($Z$3="yes", 0.127784499999999/$X255, 0.127784499999999)</f>
        <v>0.1056070247933876</v>
      </c>
      <c r="AO255" s="68">
        <f>IF($Z$3="yes", 0.0967724999999992/$X255, 0.0967724999999992)</f>
        <v>7.9977272727272078E-2</v>
      </c>
      <c r="AP255" s="68">
        <f>IF($Z$3="yes", 0.0679594999999986/$X255, 0.0679594999999986)</f>
        <v>5.6164876033056699E-2</v>
      </c>
      <c r="AQ255" s="68">
        <f>IF($Z$3="yes", 0.0460644999999995/$X255, 0.0460644999999995)</f>
        <v>3.8069834710743392E-2</v>
      </c>
      <c r="AR255" s="68">
        <f>IF($Z$3="yes", 0.0474519999999989/$X255, 0.0474519999999989)</f>
        <v>3.9216528925618922E-2</v>
      </c>
      <c r="AS255" s="68">
        <f>IF($Z$3="yes", 0.00708400000000053/$X255, 0.00708400000000053)</f>
        <v>5.8545454545458923E-3</v>
      </c>
      <c r="AT255" s="68">
        <f>IF($Z$3="yes", 0.0239279999999993/$X255, 0.0239279999999993)</f>
        <v>1.977520661156967E-2</v>
      </c>
      <c r="AU255" s="88">
        <f>IF($Z$3="yes", 0.052741/$X255, 0.052741)</f>
        <v>4.3587603305785129E-2</v>
      </c>
      <c r="AV255" s="88">
        <f>IF($Z$3="yes", 0.0746359999999991/$X255, 0.0746359999999991)</f>
        <v>6.1682644628098436E-2</v>
      </c>
      <c r="AW255" s="88">
        <f>IF($Z$3="yes", 0.0732484999999997/$X255, 0.0732484999999997)</f>
        <v>6.0535950413222898E-2</v>
      </c>
      <c r="AX255" s="88">
        <f>IF($Z$3="yes", 0.0310119999999999/$X255, 0.0310119999999999)</f>
        <v>2.5629752066115622E-2</v>
      </c>
      <c r="AY255" s="88">
        <f>IF($Z$3="yes", 0.0288130000000006/$X255, 0.0288130000000006)</f>
        <v>2.3812396694215372E-2</v>
      </c>
      <c r="AZ255" s="88">
        <f>IF($Z$3="yes", 0.0507079999999997/$X255, 0.0507079999999997)</f>
        <v>4.1907438016528679E-2</v>
      </c>
      <c r="BA255" s="88">
        <f>IF($Z$3="yes", 0.0493205000000003/$X255, 0.0493205000000003)</f>
        <v>4.0760743801653142E-2</v>
      </c>
      <c r="BB255" s="88">
        <f>IF($Z$3="yes", 0.0598250000000005/$X255, 0.0598250000000005)</f>
        <v>4.9442148760330998E-2</v>
      </c>
      <c r="BC255" s="88">
        <f>IF($Z$3="yes", 0.0817199999999996/$X255, 0.0817199999999996)</f>
        <v>6.7537190082644305E-2</v>
      </c>
      <c r="BD255" s="88">
        <f>IF($Z$3="yes", 0.0803325000000002/$X255, 0.0803325000000002)</f>
        <v>6.6390495867768753E-2</v>
      </c>
      <c r="BE255" s="88">
        <f>IF($Z$3="yes", 0.0218949999999991/$X255, 0.0218949999999991)</f>
        <v>1.8095041322313307E-2</v>
      </c>
      <c r="BF255" s="88">
        <f>IF($Z$3="yes", 0.0205074999999996/$X255, 0.0205074999999996)</f>
        <v>1.6948347107437686E-2</v>
      </c>
      <c r="BG255" s="88">
        <f>IF($Z$3="yes", 0.00138749999999943/$X255, 0.00138749999999943)</f>
        <v>1.146694214875562E-3</v>
      </c>
      <c r="BH255" s="88">
        <f>IF($Z$3="yes", 0.141191404761904/$X255, 0.141191404761904)</f>
        <v>0.11668711137347439</v>
      </c>
      <c r="BI255" s="68"/>
      <c r="BJ255" s="68"/>
      <c r="BK255" s="68">
        <f>IF($BL$3="yes", MAX(0, (914892 - 400938.2) / 322614.912309645), 400938.2)</f>
        <v>400938.2</v>
      </c>
      <c r="BL255" s="68">
        <f>IF($BL$3="yes", MAX(0, (914892 - 274256) / 264657.330645119), 274256)</f>
        <v>274256</v>
      </c>
      <c r="BM255" s="68">
        <f>IF($BL$3="yes", MAX(0, (914892 - 236745.2) / 199822.252816747), 236745.2)</f>
        <v>236745.2</v>
      </c>
      <c r="BN255" s="68">
        <f>IF($BL$3="yes", MAX(0, (914892 - 260358) / 239855.860181234), 260358)</f>
        <v>260358</v>
      </c>
      <c r="BO255" s="68">
        <f>IF($BL$3="yes", MAX(0, (914892 - 216549.32) / 252994.772298633), 216549.32)</f>
        <v>216549.32</v>
      </c>
      <c r="BP255" s="68">
        <f>IF($BL$3="yes", MAX(0, (914892 - 314449.74) / 1231166.90514711), 314449.74)</f>
        <v>314449.74</v>
      </c>
      <c r="BQ255" s="68">
        <v>71.750987748014751</v>
      </c>
      <c r="BR255" s="68"/>
      <c r="BS255" s="68"/>
      <c r="BT255" s="68">
        <v>-1891033.9876048509</v>
      </c>
      <c r="BU255" s="68">
        <v>397608.040305553</v>
      </c>
      <c r="BV255" s="68">
        <f>IF($Z$3="yes", 0.0790795954724451/$X255, 0.0790795954724451)</f>
        <v>6.535503758053314E-2</v>
      </c>
      <c r="BW255" s="68">
        <f>IF($Z$3="yes", 0.0941667293506011/$X255, 0.0941667293506011)</f>
        <v>7.7823743264959583E-2</v>
      </c>
      <c r="BX255" s="68">
        <f>$BW$113 - $BV$113</f>
        <v>0.10119839309083825</v>
      </c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  <c r="CO255" s="68"/>
      <c r="CP255" s="68"/>
      <c r="CQ255" s="81"/>
      <c r="CR255" s="81"/>
      <c r="CS255" s="68"/>
      <c r="CT255" s="68"/>
      <c r="CU255" s="68"/>
    </row>
    <row r="256" spans="1:99" ht="15.75" customHeight="1" thickBot="1" x14ac:dyDescent="0.3">
      <c r="A256" s="84" t="s">
        <v>194</v>
      </c>
      <c r="B256" s="67" t="s">
        <v>128</v>
      </c>
      <c r="C256" s="83" t="s">
        <v>611</v>
      </c>
      <c r="D256" s="67" t="s">
        <v>219</v>
      </c>
      <c r="E256" s="67">
        <v>1</v>
      </c>
      <c r="F256" s="85">
        <v>0.49</v>
      </c>
      <c r="G256" s="313">
        <v>44204</v>
      </c>
      <c r="H256" s="317">
        <v>0.96430000000000005</v>
      </c>
      <c r="I256" s="85">
        <v>3.37</v>
      </c>
      <c r="J256" s="313">
        <v>44245</v>
      </c>
      <c r="K256" s="248">
        <f t="shared" si="8"/>
        <v>0.96795918367346956</v>
      </c>
      <c r="L256" s="149">
        <f t="shared" si="9"/>
        <v>5.8775510204081636</v>
      </c>
      <c r="M256" s="312">
        <v>44407</v>
      </c>
      <c r="N256" s="68"/>
      <c r="O256" s="291">
        <v>90068356</v>
      </c>
      <c r="P256" s="291">
        <v>55020000</v>
      </c>
      <c r="Q256" s="291">
        <v>39</v>
      </c>
      <c r="R256" s="68" t="s">
        <v>131</v>
      </c>
      <c r="S256" s="68" t="s">
        <v>220</v>
      </c>
      <c r="T256" s="68" t="s">
        <v>221</v>
      </c>
      <c r="U256" s="68">
        <v>232</v>
      </c>
      <c r="V256" s="68">
        <v>3302563</v>
      </c>
      <c r="W256" s="68"/>
      <c r="X256" s="68">
        <v>0.4899</v>
      </c>
      <c r="Y256" s="68">
        <v>0.4026614999999979</v>
      </c>
      <c r="Z256" s="68">
        <v>0.35144399999999981</v>
      </c>
      <c r="AA256" s="68">
        <v>0.40400599999999998</v>
      </c>
      <c r="AB256" s="68">
        <v>0.38197799999999998</v>
      </c>
      <c r="AC256" s="68">
        <v>0.45192499999999958</v>
      </c>
      <c r="AD256" s="68">
        <v>0.43848571428571398</v>
      </c>
      <c r="AE256" s="68">
        <v>0.43438749999999993</v>
      </c>
      <c r="AF256" s="68">
        <f>IF($Z$3="yes", -0.000439147303682426/$X256, -0.000439147303682426)</f>
        <v>-8.9640192627561959E-4</v>
      </c>
      <c r="AG256" s="68">
        <f>IF($Z$3="yes", 0.00206342394239426/$X256, 0.00206342394239426)</f>
        <v>4.2119288475081854E-3</v>
      </c>
      <c r="AH256" s="68">
        <f>IF($Z$3="yes", 0.00329362304921956/$X256, 0.00329362304921956)</f>
        <v>6.7230517436610735E-3</v>
      </c>
      <c r="AI256" s="68">
        <f>IF($Z$3="yes", 0.00389015606242488/$X256, 0.00389015606242488)</f>
        <v>7.9407145589403556E-3</v>
      </c>
      <c r="AJ256" s="68">
        <f>IF($Z$3="yes", -0.00235120300751658/$X256, -0.00235120300751658)</f>
        <v>-4.7993529445123084E-3</v>
      </c>
      <c r="AK256" s="68">
        <f>IF($Z$3="yes", 0.000599999999999482/$X256, 0.000599999999999482)</f>
        <v>1.2247397428035967E-3</v>
      </c>
      <c r="AL256" s="68">
        <f>IF($Z$3="yes", 0.011517857142857/$X256, 0.011517857142857)</f>
        <v>2.3510628991339048E-2</v>
      </c>
      <c r="AM256" s="68">
        <f>IF($Z$3="yes", 0.0512174999999981/$X256, 0.0512174999999981)</f>
        <v>0.1045468462951584</v>
      </c>
      <c r="AN256" s="68">
        <f>IF($Z$3="yes", 0.00134450000000213/$X256, 0.00134450000000213)</f>
        <v>2.74443764033911E-3</v>
      </c>
      <c r="AO256" s="68">
        <f>IF($Z$3="yes", 0.0206834999999978/$X256, 0.0206834999999978)</f>
        <v>4.2219840783828948E-2</v>
      </c>
      <c r="AP256" s="68">
        <f>IF($Z$3="yes", 0.0492635000000017/$X256, 0.0492635000000017)</f>
        <v>0.10055827719943193</v>
      </c>
      <c r="AQ256" s="68">
        <f>IF($Z$3="yes", 0.035824214285716/$X256, 0.035824214285716)</f>
        <v>7.3125564984111047E-2</v>
      </c>
      <c r="AR256" s="68">
        <f>IF($Z$3="yes", 0.031726000000002/$X256, 0.031726000000002)</f>
        <v>6.4760155133704839E-2</v>
      </c>
      <c r="AS256" s="68">
        <f>IF($Z$3="yes", 0.0525620000000002/$X256, 0.0525620000000002)</f>
        <v>0.10729128393549744</v>
      </c>
      <c r="AT256" s="68">
        <f>IF($Z$3="yes", 0.0305340000000002/$X256, 0.0305340000000002)</f>
        <v>6.2327005511329248E-2</v>
      </c>
      <c r="AU256" s="88">
        <f>IF($Z$3="yes", 0.100480999999999/$X256, 0.100480999999999)</f>
        <v>0.2051051234945887</v>
      </c>
      <c r="AV256" s="88">
        <f>IF($Z$3="yes", 0.0870417142857142/$X256, 0.0870417142857142)</f>
        <v>0.17767241127926964</v>
      </c>
      <c r="AW256" s="88">
        <f>IF($Z$3="yes", 0.0829435000000001/$X256, 0.0829435000000001)</f>
        <v>0.16930700142886324</v>
      </c>
      <c r="AX256" s="88">
        <f>IF($Z$3="yes", 0.0220279999999999/$X256, 0.0220279999999999)</f>
        <v>4.4964278424167989E-2</v>
      </c>
      <c r="AY256" s="88">
        <f>IF($Z$3="yes", 0.0699469999999995/$X256, 0.0699469999999995)</f>
        <v>0.14277811798326087</v>
      </c>
      <c r="AZ256" s="88">
        <f>IF($Z$3="yes", 0.0565077142857139/$X256, 0.0565077142857139)</f>
        <v>0.11534540576794018</v>
      </c>
      <c r="BA256" s="88">
        <f>IF($Z$3="yes", 0.0524094999999998/$X256, 0.0524094999999998)</f>
        <v>0.10697999591753379</v>
      </c>
      <c r="BB256" s="88">
        <f>IF($Z$3="yes", 0.0479189999999996/$X256, 0.0479189999999996)</f>
        <v>9.7813839559092883E-2</v>
      </c>
      <c r="BC256" s="88">
        <f>IF($Z$3="yes", 0.0344797142857139/$X256, 0.0344797142857139)</f>
        <v>7.0381127343771985E-2</v>
      </c>
      <c r="BD256" s="88">
        <f>IF($Z$3="yes", 0.0303814999999998/$X256, 0.0303814999999998)</f>
        <v>6.2015717493365589E-2</v>
      </c>
      <c r="BE256" s="88">
        <f>IF($Z$3="yes", 0.0134392857142856/$X256, 0.0134392857142856)</f>
        <v>2.7432712215320676E-2</v>
      </c>
      <c r="BF256" s="88">
        <f>IF($Z$3="yes", 0.0175374999999997/$X256, 0.0175374999999997)</f>
        <v>3.5798122065727085E-2</v>
      </c>
      <c r="BG256" s="88">
        <f>IF($Z$3="yes", 0.00409821428571405/$X256, 0.00409821428571405)</f>
        <v>8.3654098504063069E-3</v>
      </c>
      <c r="BH256" s="88">
        <f>IF($Z$3="yes", 0.081556193877551/$X256, 0.081556193877551)</f>
        <v>0.16647518652286386</v>
      </c>
      <c r="BI256" s="68"/>
      <c r="BJ256" s="68"/>
      <c r="BK256" s="68">
        <f>IF($BL$3="yes", MAX(0, (3302563 - 2785089.6) / 1424366.65403787), 2785089.6)</f>
        <v>2785089.6</v>
      </c>
      <c r="BL256" s="68">
        <f>IF($BL$3="yes", MAX(0, (3302563 - 1740723.1) / 1456578.99938955), 1740723.1)</f>
        <v>1740723.1</v>
      </c>
      <c r="BM256" s="68">
        <f>IF($BL$3="yes", MAX(0, (3302563 - 1406591.7) / 1131298.59425304), 1406591.7)</f>
        <v>1406591.7</v>
      </c>
      <c r="BN256" s="68">
        <f>IF($BL$3="yes", MAX(0, (3302563 - 1222155.2) / 1162239.92729434), 1222155.2)</f>
        <v>1222155.2</v>
      </c>
      <c r="BO256" s="68">
        <f>IF($BL$3="yes", MAX(0, (3302563 - 1621734.41) / 4924328.27700047), 1621734.41)</f>
        <v>1621734.41</v>
      </c>
      <c r="BP256" s="68">
        <f>IF($BL$3="yes", MAX(0, (3302563 - 1556136.355) / 4243074.77246613), 1556136.355)</f>
        <v>1556136.355</v>
      </c>
      <c r="BQ256" s="68">
        <v>61.896569128311548</v>
      </c>
      <c r="BR256" s="68"/>
      <c r="BS256" s="68"/>
      <c r="BT256" s="68">
        <v>-41576918.954057828</v>
      </c>
      <c r="BU256" s="68">
        <v>-246393.25044966489</v>
      </c>
      <c r="BV256" s="68">
        <f>IF($Z$3="yes", 0.0446646418693715/$X256, 0.0446646418693715)</f>
        <v>9.1170936659260057E-2</v>
      </c>
      <c r="BW256" s="68">
        <f>IF($Z$3="yes", 0.0405184745539252/$X256, 0.0405184745539252)</f>
        <v>8.2707643506685455E-2</v>
      </c>
      <c r="BX256" s="68">
        <f>$BW$115 - $BV$115</f>
        <v>0.12976080119386213</v>
      </c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81"/>
      <c r="CR256" s="81"/>
      <c r="CS256" s="68"/>
      <c r="CT256" s="68"/>
      <c r="CU256" s="68"/>
    </row>
    <row r="257" spans="1:99" ht="15.75" customHeight="1" thickBot="1" x14ac:dyDescent="0.3">
      <c r="A257" s="84" t="s">
        <v>194</v>
      </c>
      <c r="B257" s="67" t="s">
        <v>181</v>
      </c>
      <c r="C257" s="83" t="s">
        <v>618</v>
      </c>
      <c r="D257" s="67" t="s">
        <v>619</v>
      </c>
      <c r="E257" s="67">
        <v>1</v>
      </c>
      <c r="F257" s="85">
        <v>2.47E-2</v>
      </c>
      <c r="G257" s="313">
        <v>44202</v>
      </c>
      <c r="H257" s="317">
        <v>0.13300000000000001</v>
      </c>
      <c r="I257" s="85">
        <v>0.23</v>
      </c>
      <c r="J257" s="313">
        <v>44349</v>
      </c>
      <c r="K257" s="149">
        <f t="shared" si="8"/>
        <v>4.384615384615385</v>
      </c>
      <c r="L257" s="149">
        <f t="shared" si="9"/>
        <v>8.3117408906882595</v>
      </c>
      <c r="M257" s="312">
        <v>44373</v>
      </c>
      <c r="N257" s="68"/>
      <c r="O257" s="68">
        <v>48000000</v>
      </c>
      <c r="P257" s="68"/>
      <c r="Q257" s="68">
        <v>147</v>
      </c>
      <c r="R257" s="68"/>
      <c r="S257" s="68" t="s">
        <v>220</v>
      </c>
      <c r="T257" s="68"/>
      <c r="U257" s="68">
        <v>0</v>
      </c>
      <c r="V257" s="68"/>
      <c r="W257" s="68"/>
      <c r="X257" s="68"/>
      <c r="Y257" s="68"/>
      <c r="Z257" s="68"/>
      <c r="AA257" s="68"/>
      <c r="AB257" s="68"/>
      <c r="AC257" s="68"/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88"/>
      <c r="AV257" s="88"/>
      <c r="AW257" s="88"/>
      <c r="AX257" s="88"/>
      <c r="AY257" s="88"/>
      <c r="AZ257" s="88"/>
      <c r="BA257" s="88"/>
      <c r="BB257" s="88"/>
      <c r="BC257" s="88"/>
      <c r="BD257" s="88"/>
      <c r="BE257" s="88"/>
      <c r="BF257" s="88"/>
      <c r="BG257" s="88"/>
      <c r="BH257" s="8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  <c r="CQ257" s="81"/>
      <c r="CR257" s="81"/>
      <c r="CS257" s="68"/>
      <c r="CT257" s="68"/>
      <c r="CU257" s="68"/>
    </row>
    <row r="258" spans="1:99" ht="15.75" customHeight="1" thickBot="1" x14ac:dyDescent="0.3">
      <c r="A258" s="84" t="s">
        <v>194</v>
      </c>
      <c r="B258" s="67" t="s">
        <v>128</v>
      </c>
      <c r="C258" s="83" t="s">
        <v>620</v>
      </c>
      <c r="D258" s="67" t="s">
        <v>621</v>
      </c>
      <c r="E258" s="67">
        <v>1</v>
      </c>
      <c r="F258" s="85">
        <v>2.62</v>
      </c>
      <c r="G258" s="313">
        <v>44200</v>
      </c>
      <c r="H258" s="317">
        <v>5.91</v>
      </c>
      <c r="I258" s="317">
        <v>17.399999999999999</v>
      </c>
      <c r="J258" s="313">
        <v>44389</v>
      </c>
      <c r="K258" s="249">
        <f t="shared" si="8"/>
        <v>1.2557251908396947</v>
      </c>
      <c r="L258" s="145">
        <f t="shared" si="9"/>
        <v>5.6412213740458004</v>
      </c>
      <c r="M258" s="312">
        <v>44407</v>
      </c>
      <c r="N258" s="68"/>
      <c r="O258" s="291">
        <v>2437550</v>
      </c>
      <c r="P258" s="291">
        <v>1920000</v>
      </c>
      <c r="Q258" s="291">
        <v>189</v>
      </c>
      <c r="R258" s="68" t="s">
        <v>131</v>
      </c>
      <c r="S258" s="68"/>
      <c r="T258" s="68" t="s">
        <v>622</v>
      </c>
      <c r="U258" s="68">
        <v>116</v>
      </c>
      <c r="V258" s="68">
        <v>52977</v>
      </c>
      <c r="W258" s="68"/>
      <c r="X258" s="68">
        <v>2.66</v>
      </c>
      <c r="Y258" s="68">
        <v>3.8386885000000022</v>
      </c>
      <c r="Z258" s="68">
        <v>3.0563730000000029</v>
      </c>
      <c r="AA258" s="68">
        <v>2.658097999999999</v>
      </c>
      <c r="AB258" s="68">
        <v>2.7257979999999988</v>
      </c>
      <c r="AC258" s="68">
        <v>2.6647500000000002</v>
      </c>
      <c r="AD258" s="68">
        <v>2.7574999999999998</v>
      </c>
      <c r="AE258" s="68">
        <v>2.7081249999999981</v>
      </c>
      <c r="AF258" s="68">
        <f>IF($Z$3="yes", -0.0111951980049501/$X258, -0.0111951980049501)</f>
        <v>-4.2087210544925185E-3</v>
      </c>
      <c r="AG258" s="68">
        <f>IF($Z$3="yes", -0.0181504332433246/$X258, -0.0181504332433246)</f>
        <v>-6.8234711441069922E-3</v>
      </c>
      <c r="AH258" s="68">
        <f>IF($Z$3="yes", -0.00205450660264039/$X258, -0.00205450660264039)</f>
        <v>-7.7237090324826685E-4</v>
      </c>
      <c r="AI258" s="68">
        <f>IF($Z$3="yes", -0.00970142136854678/$X258, -0.00970142136854678)</f>
        <v>-3.6471508904311199E-3</v>
      </c>
      <c r="AJ258" s="68">
        <f>IF($Z$3="yes", 0.0154248120300781/$X258, 0.0154248120300781)</f>
        <v>5.7988015150669545E-3</v>
      </c>
      <c r="AK258" s="68">
        <f>IF($Z$3="yes", -0.0117912087912167/$X258, -0.0117912087912167)</f>
        <v>-4.4327852598559023E-3</v>
      </c>
      <c r="AL258" s="68">
        <f>IF($Z$3="yes", 0.0248214285714696/$X258, 0.0248214285714696)</f>
        <v>9.331364124612631E-3</v>
      </c>
      <c r="AM258" s="68">
        <f>IF($Z$3="yes", 0.782315499999998/$X258, 0.782315499999998)</f>
        <v>0.29410357142857069</v>
      </c>
      <c r="AN258" s="68">
        <f>IF($Z$3="yes", 1.1805905/$X258, 1.1805905)</f>
        <v>0.44383101503759398</v>
      </c>
      <c r="AO258" s="68">
        <f>IF($Z$3="yes", 1.1128905/$X258, 1.1128905)</f>
        <v>0.41837988721804509</v>
      </c>
      <c r="AP258" s="68">
        <f>IF($Z$3="yes", 1.1739385/$X258, 1.1739385)</f>
        <v>0.4413302631578947</v>
      </c>
      <c r="AQ258" s="68">
        <f>IF($Z$3="yes", 1.0811885/$X258, 1.0811885)</f>
        <v>0.40646184210526315</v>
      </c>
      <c r="AR258" s="68">
        <f>IF($Z$3="yes", 1.1305635/$X258, 1.1305635)</f>
        <v>0.42502387218045112</v>
      </c>
      <c r="AS258" s="68">
        <f>IF($Z$3="yes", 0.398275000000003/$X258, 0.398275000000003)</f>
        <v>0.14972744360902368</v>
      </c>
      <c r="AT258" s="68">
        <f>IF($Z$3="yes", 0.330575000000004/$X258, 0.330575000000004)</f>
        <v>0.12427631578947518</v>
      </c>
      <c r="AU258" s="88">
        <f>IF($Z$3="yes", 0.391623000000002/$X258, 0.391623000000002)</f>
        <v>0.14722669172932404</v>
      </c>
      <c r="AV258" s="88">
        <f>IF($Z$3="yes", 0.298873000000003/$X258, 0.298873000000003)</f>
        <v>0.11235827067669285</v>
      </c>
      <c r="AW258" s="88">
        <f>IF($Z$3="yes", 0.348248000000004/$X258, 0.348248000000004)</f>
        <v>0.13092030075188119</v>
      </c>
      <c r="AX258" s="88">
        <f>IF($Z$3="yes", 0.0676999999999998/$X258, 0.0676999999999998)</f>
        <v>2.5451127819548797E-2</v>
      </c>
      <c r="AY258" s="88">
        <f>IF($Z$3="yes", 0.0610479999999986/$X258, 0.0610479999999986)</f>
        <v>2.2950375939849096E-2</v>
      </c>
      <c r="AZ258" s="88">
        <f>IF($Z$3="yes", 0.031702000000001/$X258, 0.031702000000001)</f>
        <v>1.1918045112782331E-2</v>
      </c>
      <c r="BA258" s="88">
        <f>IF($Z$3="yes", 0.0176730000000007/$X258, 0.0176730000000007)</f>
        <v>6.6439849624062774E-3</v>
      </c>
      <c r="BB258" s="88">
        <f>IF($Z$3="yes", 0.00665200000000121/$X258, 0.00665200000000121)</f>
        <v>2.5007518796997027E-3</v>
      </c>
      <c r="BC258" s="88">
        <f>IF($Z$3="yes", 0.0994020000000008/$X258, 0.0994020000000008)</f>
        <v>3.7369172932331121E-2</v>
      </c>
      <c r="BD258" s="88">
        <f>IF($Z$3="yes", 0.0500269999999991/$X258, 0.0500269999999991)</f>
        <v>1.8807142857142519E-2</v>
      </c>
      <c r="BE258" s="88">
        <f>IF($Z$3="yes", 0.0927499999999996/$X258, 0.0927499999999996)</f>
        <v>3.4868421052631424E-2</v>
      </c>
      <c r="BF258" s="88">
        <f>IF($Z$3="yes", 0.0433749999999979/$X258, 0.0433749999999979)</f>
        <v>1.6306390977442818E-2</v>
      </c>
      <c r="BG258" s="88">
        <f>IF($Z$3="yes", 0.0493750000000017/$X258, 0.0493750000000017)</f>
        <v>1.8562030075188609E-2</v>
      </c>
      <c r="BH258" s="88">
        <f>IF($Z$3="yes", 0.583404952380953/$X258, 0.583404952380953)</f>
        <v>0.21932517006802743</v>
      </c>
      <c r="BI258" s="68"/>
      <c r="BJ258" s="68"/>
      <c r="BK258" s="68">
        <f>IF($BL$3="yes", MAX(0, (52977 - 207686.8) / 179752.951866054), 207686.8)</f>
        <v>207686.8</v>
      </c>
      <c r="BL258" s="68">
        <f>IF($BL$3="yes", MAX(0, (52977 - 131928.8) / 149520.783155252), 131928.8)</f>
        <v>131928.79999999999</v>
      </c>
      <c r="BM258" s="68">
        <f>IF($BL$3="yes", MAX(0, (52977 - 110751.5) / 142892.839616441), 110751.5)</f>
        <v>110751.5</v>
      </c>
      <c r="BN258" s="68">
        <f>IF($BL$3="yes", MAX(0, (52977 - 55728.42) / 101519.26081943), 55728.42)</f>
        <v>55728.42</v>
      </c>
      <c r="BO258" s="68">
        <f>IF($BL$3="yes", MAX(0, (52977 - 75785.42) / 234980.936287486), 75785.42)</f>
        <v>75785.42</v>
      </c>
      <c r="BP258" s="68">
        <f>IF($BL$3="yes", MAX(0, (52977 - 62230.67) / 182962.595841612), 62230.67)</f>
        <v>62230.67</v>
      </c>
      <c r="BQ258" s="68">
        <v>49.53758904271406</v>
      </c>
      <c r="BR258" s="68"/>
      <c r="BS258" s="68"/>
      <c r="BT258" s="68">
        <v>-2529328.25426705</v>
      </c>
      <c r="BU258" s="68">
        <v>-42898.470452236012</v>
      </c>
      <c r="BV258" s="68">
        <f>IF($Z$3="yes", 0.324388380795774/$X258, 0.324388380795774)</f>
        <v>0.12195051909615562</v>
      </c>
      <c r="BW258" s="68">
        <f>IF($Z$3="yes", 0.258095520656147/$X258, 0.258095520656147)</f>
        <v>9.7028391224115412E-2</v>
      </c>
      <c r="BX258" s="68">
        <f>$BW$96 - $BV$96</f>
        <v>1.8666099068604336E-2</v>
      </c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  <c r="CO258" s="68"/>
      <c r="CP258" s="68"/>
      <c r="CQ258" s="81"/>
      <c r="CR258" s="81"/>
      <c r="CS258" s="68"/>
      <c r="CT258" s="68"/>
      <c r="CU258" s="68"/>
    </row>
    <row r="259" spans="1:99" ht="15.75" customHeight="1" thickBot="1" x14ac:dyDescent="0.3">
      <c r="A259" s="84" t="s">
        <v>194</v>
      </c>
      <c r="B259" s="67" t="s">
        <v>128</v>
      </c>
      <c r="C259" s="67" t="s">
        <v>525</v>
      </c>
      <c r="D259" s="67" t="s">
        <v>500</v>
      </c>
      <c r="E259" s="67">
        <v>1</v>
      </c>
      <c r="F259" s="85">
        <v>3.35</v>
      </c>
      <c r="G259" s="313">
        <v>44200</v>
      </c>
      <c r="H259" s="317">
        <v>4.3899999999999997</v>
      </c>
      <c r="I259" s="85">
        <v>18.5</v>
      </c>
      <c r="J259" s="313">
        <v>44207</v>
      </c>
      <c r="K259" s="200">
        <f t="shared" si="8"/>
        <v>0.31044776119402973</v>
      </c>
      <c r="L259" s="149">
        <f t="shared" si="9"/>
        <v>4.522388059701492</v>
      </c>
      <c r="M259" s="312">
        <v>44407</v>
      </c>
      <c r="N259" s="68"/>
      <c r="O259" s="291">
        <v>5414296</v>
      </c>
      <c r="P259" s="291">
        <v>4980000</v>
      </c>
      <c r="Q259" s="291">
        <v>7</v>
      </c>
      <c r="R259" s="68" t="s">
        <v>131</v>
      </c>
      <c r="S259" s="68" t="s">
        <v>281</v>
      </c>
      <c r="T259" s="68" t="s">
        <v>297</v>
      </c>
      <c r="U259" s="68">
        <v>128</v>
      </c>
      <c r="V259" s="68">
        <v>244009.60000000001</v>
      </c>
      <c r="W259" s="68"/>
      <c r="X259" s="68">
        <v>3.4504999999999999</v>
      </c>
      <c r="Y259" s="68">
        <v>4.2301825000000006</v>
      </c>
      <c r="Z259" s="68">
        <v>3.290830000000001</v>
      </c>
      <c r="AA259" s="68">
        <v>3.1946100000000008</v>
      </c>
      <c r="AB259" s="68">
        <v>3.1857900000000008</v>
      </c>
      <c r="AC259" s="68">
        <v>3.323200000000003</v>
      </c>
      <c r="AD259" s="68">
        <v>3.2808928571428559</v>
      </c>
      <c r="AE259" s="68">
        <v>3.369562500000002</v>
      </c>
      <c r="AF259" s="68">
        <f>IF($Z$3="yes", -0.00701201732543303/$X259, -0.00701201732543303)</f>
        <v>-2.0321742719701581E-3</v>
      </c>
      <c r="AG259" s="68">
        <f>IF($Z$3="yes", -0.00386193219321957/$X259, -0.00386193219321957)</f>
        <v>-1.1192384272481002E-3</v>
      </c>
      <c r="AH259" s="68">
        <f>IF($Z$3="yes", 0.0120977430972381/$X259, 0.0120977430972381)</f>
        <v>3.5060840739713378E-3</v>
      </c>
      <c r="AI259" s="68">
        <f>IF($Z$3="yes", 0.00652304921968731/$X259, 0.00652304921968731)</f>
        <v>1.8904649238334476E-3</v>
      </c>
      <c r="AJ259" s="68">
        <f>IF($Z$3="yes", -0.00203157894737337/$X259, -0.00203157894737337)</f>
        <v>-5.8877813284259378E-4</v>
      </c>
      <c r="AK259" s="68">
        <f>IF($Z$3="yes", 0.0290076923076995/$X259, 0.0290076923076995)</f>
        <v>8.4068083778291551E-3</v>
      </c>
      <c r="AL259" s="68">
        <f>IF($Z$3="yes", 0.0450773809523974/$X259, 0.0450773809523974)</f>
        <v>1.3064014187044603E-2</v>
      </c>
      <c r="AM259" s="68">
        <f>IF($Z$3="yes", 0.939352499999999/$X259, 0.939352499999999)</f>
        <v>0.2722366323721197</v>
      </c>
      <c r="AN259" s="68">
        <f>IF($Z$3="yes", 1.03557249999999/$X259, 1.03557249999999)</f>
        <v>0.30012244602231269</v>
      </c>
      <c r="AO259" s="68">
        <f>IF($Z$3="yes", 1.04439249999999/$X259, 1.04439249999999)</f>
        <v>0.30267859730473556</v>
      </c>
      <c r="AP259" s="68">
        <f>IF($Z$3="yes", 0.906982499999997/$X259, 0.906982499999997)</f>
        <v>0.26285538327778496</v>
      </c>
      <c r="AQ259" s="68">
        <f>IF($Z$3="yes", 0.949289642857144/$X259, 0.949289642857144)</f>
        <v>0.27511654625623649</v>
      </c>
      <c r="AR259" s="68">
        <f>IF($Z$3="yes", 0.860619999999998/$X259, 0.860619999999998)</f>
        <v>0.24941892479350763</v>
      </c>
      <c r="AS259" s="68">
        <f>IF($Z$3="yes", 0.0962200000000002/$X259, 0.0962200000000002)</f>
        <v>2.7885813650195681E-2</v>
      </c>
      <c r="AT259" s="68">
        <f>IF($Z$3="yes", 0.105039999999999/$X259, 0.105039999999999)</f>
        <v>3.0441964932618172E-2</v>
      </c>
      <c r="AU259" s="88">
        <f>IF($Z$3="yes", 0.032370000000002/$X259, 0.032370000000002)</f>
        <v>9.381249094334734E-3</v>
      </c>
      <c r="AV259" s="88">
        <f>IF($Z$3="yes", 0.00993714285714464/$X259, 0.00993714285714464)</f>
        <v>2.8799138841166905E-3</v>
      </c>
      <c r="AW259" s="88">
        <f>IF($Z$3="yes", 0.0787325000000014/$X259, 0.0787325000000014)</f>
        <v>2.2817707578612203E-2</v>
      </c>
      <c r="AX259" s="88">
        <f>IF($Z$3="yes", 0.0088199999999996/$X259, 0.0088199999999996)</f>
        <v>2.5561512824227215E-3</v>
      </c>
      <c r="AY259" s="88">
        <f>IF($Z$3="yes", 0.137410000000001/$X259, 0.137410000000001)</f>
        <v>3.9823214026952908E-2</v>
      </c>
      <c r="AZ259" s="88">
        <f>IF($Z$3="yes", 0.0951028571428551/$X259, 0.0951028571428551)</f>
        <v>2.7562051048501696E-2</v>
      </c>
      <c r="BA259" s="88">
        <f>IF($Z$3="yes", 0.183772500000001/$X259, 0.183772500000001)</f>
        <v>5.3259672511230552E-2</v>
      </c>
      <c r="BB259" s="88">
        <f>IF($Z$3="yes", 0.128590000000002/$X259, 0.128590000000002)</f>
        <v>3.7267062744530365E-2</v>
      </c>
      <c r="BC259" s="88">
        <f>IF($Z$3="yes", 0.0862828571428555/$X259, 0.0862828571428555)</f>
        <v>2.5005899766078973E-2</v>
      </c>
      <c r="BD259" s="88">
        <f>IF($Z$3="yes", 0.174952500000001/$X259, 0.174952500000001)</f>
        <v>5.070352122880771E-2</v>
      </c>
      <c r="BE259" s="88">
        <f>IF($Z$3="yes", 0.0423071428571466/$X259, 0.0423071428571466)</f>
        <v>1.2261162978451414E-2</v>
      </c>
      <c r="BF259" s="88">
        <f>IF($Z$3="yes", 0.0463624999999994/$X259, 0.0463624999999994)</f>
        <v>1.3436458484277467E-2</v>
      </c>
      <c r="BG259" s="88">
        <f>IF($Z$3="yes", 0.088669642857146/$X259, 0.088669642857146)</f>
        <v>2.569762146272888E-2</v>
      </c>
      <c r="BH259" s="88">
        <f>IF($Z$3="yes", 0.558395697278912/$X259, 0.558395697278912)</f>
        <v>0.16183037162118882</v>
      </c>
      <c r="BI259" s="68"/>
      <c r="BJ259" s="68"/>
      <c r="BK259" s="68">
        <f>IF($BL$3="yes", MAX(0, (244009.6 - 443816.48) / 386821.416622618), 443816.48)</f>
        <v>443816.48</v>
      </c>
      <c r="BL259" s="68">
        <f>IF($BL$3="yes", MAX(0, (244009.6 - 298946.72) / 310563.246894016), 298946.72)</f>
        <v>298946.71999999997</v>
      </c>
      <c r="BM259" s="68">
        <f>IF($BL$3="yes", MAX(0, (244009.6 - 230338.68) / 239950.57306304), 230338.68)</f>
        <v>230338.68</v>
      </c>
      <c r="BN259" s="68">
        <f>IF($BL$3="yes", MAX(0, (244009.6 - 211151.868) / 215318.515509694), 211151.868)</f>
        <v>211151.86799999999</v>
      </c>
      <c r="BO259" s="68">
        <f>IF($BL$3="yes", MAX(0, (244009.6 - 496492.104) / 1361217.39624301), 496492.104)</f>
        <v>496492.10399999999</v>
      </c>
      <c r="BP259" s="68">
        <f>IF($BL$3="yes", MAX(0, (244009.6 - 387771.811) / 1341254.53974325), 387771.811)</f>
        <v>387771.81099999999</v>
      </c>
      <c r="BQ259" s="68">
        <v>53.923102163482227</v>
      </c>
      <c r="BR259" s="68"/>
      <c r="BS259" s="68"/>
      <c r="BT259" s="68">
        <v>-6154924.5942796431</v>
      </c>
      <c r="BU259" s="68">
        <v>64435.340435827151</v>
      </c>
      <c r="BV259" s="68">
        <f>IF($Z$3="yes", 0.334455991567982/$X259, 0.334455991567982)</f>
        <v>9.6929717886677882E-2</v>
      </c>
      <c r="BW259" s="68">
        <f>IF($Z$3="yes", 0.315909257744024/$X259, 0.315909257744024)</f>
        <v>9.1554632008121722E-2</v>
      </c>
      <c r="BX259" s="68">
        <f>$BW$104 - $BV$104</f>
        <v>0.15534501166567322</v>
      </c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  <c r="CO259" s="68"/>
      <c r="CP259" s="68"/>
      <c r="CQ259" s="81"/>
      <c r="CR259" s="81"/>
      <c r="CS259" s="68"/>
      <c r="CT259" s="68"/>
      <c r="CU259" s="68"/>
    </row>
    <row r="260" spans="1:99" ht="15.75" customHeight="1" thickBot="1" x14ac:dyDescent="0.3">
      <c r="A260" s="84" t="s">
        <v>194</v>
      </c>
      <c r="B260" s="67" t="s">
        <v>128</v>
      </c>
      <c r="C260" s="83" t="s">
        <v>620</v>
      </c>
      <c r="D260" s="67" t="s">
        <v>357</v>
      </c>
      <c r="E260" s="67">
        <v>1</v>
      </c>
      <c r="F260" s="85">
        <v>5.49</v>
      </c>
      <c r="G260" s="313">
        <v>44200</v>
      </c>
      <c r="H260" s="317">
        <v>3.76</v>
      </c>
      <c r="I260" s="85">
        <v>22.2</v>
      </c>
      <c r="J260" s="313">
        <v>44238</v>
      </c>
      <c r="K260" s="251">
        <f t="shared" si="8"/>
        <v>-0.31511839708561029</v>
      </c>
      <c r="L260" s="149">
        <f t="shared" si="9"/>
        <v>3.0437158469945356</v>
      </c>
      <c r="M260" s="312">
        <v>44407</v>
      </c>
      <c r="N260" s="68"/>
      <c r="O260" s="291">
        <v>7906476</v>
      </c>
      <c r="P260" s="291">
        <v>5600000</v>
      </c>
      <c r="Q260" s="291">
        <v>38</v>
      </c>
      <c r="R260" s="68" t="s">
        <v>147</v>
      </c>
      <c r="S260" s="68" t="s">
        <v>148</v>
      </c>
      <c r="T260" s="68" t="s">
        <v>242</v>
      </c>
      <c r="U260" s="68">
        <v>156</v>
      </c>
      <c r="V260" s="68">
        <v>2533613.333333333</v>
      </c>
      <c r="W260" s="68"/>
      <c r="X260" s="68">
        <v>6.6</v>
      </c>
      <c r="Y260" s="68">
        <v>7.3045489999999758</v>
      </c>
      <c r="Z260" s="68">
        <v>5.4511020000000068</v>
      </c>
      <c r="AA260" s="68">
        <v>5.3569799999999974</v>
      </c>
      <c r="AB260" s="68">
        <v>5.3220599999999969</v>
      </c>
      <c r="AC260" s="68">
        <v>5.321475000000004</v>
      </c>
      <c r="AD260" s="68">
        <v>5.2651071428571408</v>
      </c>
      <c r="AE260" s="68">
        <v>5.4982499999999979</v>
      </c>
      <c r="AF260" s="68">
        <f>IF($Z$3="yes", -0.0343105074626852/$X260, -0.0343105074626852)</f>
        <v>-5.1985617367704849E-3</v>
      </c>
      <c r="AG260" s="68">
        <f>IF($Z$3="yes", -0.00742374797479774/$X260, -0.00742374797479774)</f>
        <v>-1.124810299211779E-3</v>
      </c>
      <c r="AH260" s="68">
        <f>IF($Z$3="yes", -0.000142156062424205/$X260, -0.000142156062424205)</f>
        <v>-2.1538797337000758E-5</v>
      </c>
      <c r="AI260" s="68">
        <f>IF($Z$3="yes", 0.00177078511404602/$X260, 0.00177078511404602)</f>
        <v>2.6830077485545759E-4</v>
      </c>
      <c r="AJ260" s="68">
        <f>IF($Z$3="yes", 0.0111236842105202/$X260, 0.0111236842105202)</f>
        <v>1.6854066985636667E-3</v>
      </c>
      <c r="AK260" s="68">
        <f>IF($Z$3="yes", 0.0776274725274918/$X260, 0.0776274725274918)</f>
        <v>1.1761738261741183E-2</v>
      </c>
      <c r="AL260" s="68">
        <f>IF($Z$3="yes", 0.108321428571442/$X260, 0.108321428571442)</f>
        <v>1.64123376623397E-2</v>
      </c>
      <c r="AM260" s="68">
        <f>IF($Z$3="yes", 1.85344699999996/$X260, 1.85344699999996)</f>
        <v>0.28082530303029701</v>
      </c>
      <c r="AN260" s="68">
        <f>IF($Z$3="yes", 1.94756899999997/$X260, 1.94756899999997)</f>
        <v>0.29508621212120756</v>
      </c>
      <c r="AO260" s="68">
        <f>IF($Z$3="yes", 1.98248899999997/$X260, 1.98248899999997)</f>
        <v>0.30037712121211668</v>
      </c>
      <c r="AP260" s="68">
        <f>IF($Z$3="yes", 1.98307399999997/$X260, 1.98307399999997)</f>
        <v>0.30046575757575306</v>
      </c>
      <c r="AQ260" s="68">
        <f>IF($Z$3="yes", 2.03944185714283/$X260, 2.03944185714283)</f>
        <v>0.30900634199133792</v>
      </c>
      <c r="AR260" s="68">
        <f>IF($Z$3="yes", 1.80629899999997/$X260, 1.80629899999997)</f>
        <v>0.2736816666666621</v>
      </c>
      <c r="AS260" s="68">
        <f>IF($Z$3="yes", 0.0941220000000102/$X260, 0.0941220000000102)</f>
        <v>1.4260909090910637E-2</v>
      </c>
      <c r="AT260" s="68">
        <f>IF($Z$3="yes", 0.129042000000009/$X260, 0.129042000000009)</f>
        <v>1.9551818181819548E-2</v>
      </c>
      <c r="AU260" s="88">
        <f>IF($Z$3="yes", 0.129627000000002/$X260, 0.129627000000002)</f>
        <v>1.964045454545485E-2</v>
      </c>
      <c r="AV260" s="88">
        <f>IF($Z$3="yes", 0.185994857142866/$X260, 0.185994857142866)</f>
        <v>2.8181038961040305E-2</v>
      </c>
      <c r="AW260" s="88">
        <f>IF($Z$3="yes", 0.047147999999991/$X260, 0.047147999999991)</f>
        <v>7.1436363636350007E-3</v>
      </c>
      <c r="AX260" s="88">
        <f>IF($Z$3="yes", 0.0349199999999996/$X260, 0.0349199999999996)</f>
        <v>5.2909090909090302E-3</v>
      </c>
      <c r="AY260" s="88">
        <f>IF($Z$3="yes", 0.000584999999992952/$X260, 0.000584999999992952)</f>
        <v>8.8636363635295767E-5</v>
      </c>
      <c r="AZ260" s="88">
        <f>IF($Z$3="yes", 0.0569528571428561/$X260, 0.0569528571428561)</f>
        <v>8.629220779220622E-3</v>
      </c>
      <c r="BA260" s="88">
        <f>IF($Z$3="yes", 0.17619/$X260, 0.17619)</f>
        <v>2.669545454545455E-2</v>
      </c>
      <c r="BB260" s="88">
        <f>IF($Z$3="yes", 0.0355049999999925/$X260, 0.0355049999999925)</f>
        <v>5.3795454545443183E-3</v>
      </c>
      <c r="BC260" s="88">
        <f>IF($Z$3="yes", 0.0918728571428557/$X260, 0.0918728571428557)</f>
        <v>1.3920129870129652E-2</v>
      </c>
      <c r="BD260" s="88">
        <f>IF($Z$3="yes", 0.141270000000001/$X260, 0.141270000000001)</f>
        <v>2.1404545454545607E-2</v>
      </c>
      <c r="BE260" s="88">
        <f>IF($Z$3="yes", 0.0563678571428631/$X260, 0.0563678571428631)</f>
        <v>8.5405844155853183E-3</v>
      </c>
      <c r="BF260" s="88">
        <f>IF($Z$3="yes", 0.176774999999993/$X260, 0.176774999999993)</f>
        <v>2.6784090909089849E-2</v>
      </c>
      <c r="BG260" s="88">
        <f>IF($Z$3="yes", 0.233142857142857/$X260, 0.233142857142857)</f>
        <v>3.5324675324675307E-2</v>
      </c>
      <c r="BH260" s="88">
        <f>IF($Z$3="yes", 0.960198870748295/$X260, 0.960198870748295)</f>
        <v>0.14548467738610532</v>
      </c>
      <c r="BI260" s="68"/>
      <c r="BJ260" s="68"/>
      <c r="BK260" s="68">
        <f>IF($BL$3="yes", MAX(0, (2533613.33333333 - 755857.266666666) / 889890.720542228), 755857.266666666)</f>
        <v>755857.26666666602</v>
      </c>
      <c r="BL260" s="68">
        <f>IF($BL$3="yes", MAX(0, (2533613.33333333 - 523574.073333333) / 697354.761217944), 523574.073333333)</f>
        <v>523574.07333333301</v>
      </c>
      <c r="BM260" s="68">
        <f>IF($BL$3="yes", MAX(0, (2533613.33333333 - 304239.64) / 540083.97546873), 304239.64)</f>
        <v>304239.64</v>
      </c>
      <c r="BN260" s="68">
        <f>IF($BL$3="yes", MAX(0, (2533613.33333333 - 165169.313333333) / 364227.497605376), 165169.313333333)</f>
        <v>165169.313333333</v>
      </c>
      <c r="BO260" s="68">
        <f>IF($BL$3="yes", MAX(0, (2533613.33333333 - 136899.680666666) / 301125.34326905), 136899.680666666)</f>
        <v>136899.68066666601</v>
      </c>
      <c r="BP260" s="68">
        <f>IF($BL$3="yes", MAX(0, (2533613.33333333 - 167716.085666666) / 395946.46490732), 167716.085666666)</f>
        <v>167716.08566666601</v>
      </c>
      <c r="BQ260" s="68">
        <v>67.145161490225163</v>
      </c>
      <c r="BR260" s="68"/>
      <c r="BS260" s="68"/>
      <c r="BT260" s="68">
        <v>-379121.36833454459</v>
      </c>
      <c r="BU260" s="68">
        <v>236770.1282586022</v>
      </c>
      <c r="BV260" s="68">
        <f>IF($Z$3="yes", 0.578805028894862/$X260, 0.578805028894862)</f>
        <v>8.769773165073666E-2</v>
      </c>
      <c r="BW260" s="68">
        <f>IF($Z$3="yes", 0.445233831570336/$X260, 0.445233831570336)</f>
        <v>6.7459671450050912E-2</v>
      </c>
      <c r="BX260" s="68">
        <f>$BW$99 - $BV$99</f>
        <v>0.21735788206135748</v>
      </c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  <c r="CQ260" s="81"/>
      <c r="CR260" s="81"/>
      <c r="CS260" s="68"/>
      <c r="CT260" s="68"/>
      <c r="CU260" s="68"/>
    </row>
    <row r="261" spans="1:99" ht="15.75" customHeight="1" thickBot="1" x14ac:dyDescent="0.3">
      <c r="A261" s="84"/>
      <c r="B261" s="67" t="s">
        <v>128</v>
      </c>
      <c r="C261" s="83" t="s">
        <v>620</v>
      </c>
      <c r="D261" s="67" t="s">
        <v>277</v>
      </c>
      <c r="E261" s="67">
        <v>1</v>
      </c>
      <c r="F261" s="85">
        <v>3.6</v>
      </c>
      <c r="G261" s="313">
        <v>44200</v>
      </c>
      <c r="H261" s="317">
        <v>3.2</v>
      </c>
      <c r="I261" s="85">
        <v>5.17</v>
      </c>
      <c r="J261" s="313">
        <v>44244</v>
      </c>
      <c r="K261" s="130">
        <f t="shared" si="8"/>
        <v>-0.11111111111111105</v>
      </c>
      <c r="L261" s="182">
        <f t="shared" si="9"/>
        <v>0.43611111111111112</v>
      </c>
      <c r="M261" s="312">
        <v>44407</v>
      </c>
      <c r="N261" s="68"/>
      <c r="O261" s="291">
        <v>7820455</v>
      </c>
      <c r="P261" s="291">
        <v>7170000</v>
      </c>
      <c r="Q261" s="291">
        <v>44</v>
      </c>
      <c r="R261" s="68" t="s">
        <v>131</v>
      </c>
      <c r="S261" s="68" t="s">
        <v>135</v>
      </c>
      <c r="T261" s="67" t="s">
        <v>278</v>
      </c>
      <c r="U261" s="68">
        <v>36</v>
      </c>
      <c r="V261" s="68">
        <v>650826</v>
      </c>
      <c r="W261" s="68"/>
      <c r="X261" s="68">
        <v>3.68</v>
      </c>
      <c r="Y261" s="68">
        <v>5.1123724999999904</v>
      </c>
      <c r="Z261" s="68">
        <v>3.8562959999999999</v>
      </c>
      <c r="AA261" s="68">
        <v>3.461552000000002</v>
      </c>
      <c r="AB261" s="68">
        <v>3.5402560000000012</v>
      </c>
      <c r="AC261" s="68">
        <v>3.532499999999998</v>
      </c>
      <c r="AD261" s="68">
        <v>3.498571428571426</v>
      </c>
      <c r="AE261" s="68">
        <v>3.4949999999999979</v>
      </c>
      <c r="AF261" s="68">
        <f>IF($Z$3="yes", -0.0208807013425325/$X261, -0.0208807013425325)</f>
        <v>-5.674103625688179E-3</v>
      </c>
      <c r="AG261" s="68">
        <f>IF($Z$3="yes", -0.0173177701770176/$X261, -0.0173177701770176)</f>
        <v>-4.7059158089721746E-3</v>
      </c>
      <c r="AH261" s="68">
        <f>IF($Z$3="yes", 0.00272096038415384/$X261, 0.00272096038415384)</f>
        <v>7.3939140873745647E-4</v>
      </c>
      <c r="AI261" s="68">
        <f>IF($Z$3="yes", -0.0068148091236491/$X261, -0.0068148091236491)</f>
        <v>-1.8518503053394292E-3</v>
      </c>
      <c r="AJ261" s="68">
        <f>IF($Z$3="yes", -0.00722556390977446/$X261, -0.00722556390977446)</f>
        <v>-1.9634684537430595E-3</v>
      </c>
      <c r="AK261" s="68">
        <f>IF($Z$3="yes", 0.00320879120880499/$X261, 0.00320879120880499)</f>
        <v>8.7195413282744293E-4</v>
      </c>
      <c r="AL261" s="68">
        <f>IF($Z$3="yes", 0.0304761904761394/$X261, 0.0304761904761394)</f>
        <v>8.2815734989509227E-3</v>
      </c>
      <c r="AM261" s="68">
        <f>IF($Z$3="yes", 1.25607649999999/$X261, 1.25607649999999)</f>
        <v>0.34132513586956248</v>
      </c>
      <c r="AN261" s="68">
        <f>IF($Z$3="yes", 1.65082049999998/$X261, 1.65082049999998)</f>
        <v>0.44859252717390757</v>
      </c>
      <c r="AO261" s="68">
        <f>IF($Z$3="yes", 1.57211649999998/$X261, 1.57211649999998)</f>
        <v>0.42720557065216846</v>
      </c>
      <c r="AP261" s="68">
        <f>IF($Z$3="yes", 1.57987249999999/$X261, 1.57987249999999)</f>
        <v>0.42931317934782337</v>
      </c>
      <c r="AQ261" s="68">
        <f>IF($Z$3="yes", 1.61380107142856/$X261, 1.61380107142856)</f>
        <v>0.43853289984471738</v>
      </c>
      <c r="AR261" s="68">
        <f>IF($Z$3="yes", 1.61737249999999/$X261, 1.61737249999999)</f>
        <v>0.43950339673912775</v>
      </c>
      <c r="AS261" s="68">
        <f>IF($Z$3="yes", 0.394743999999998/$X261, 0.394743999999998)</f>
        <v>0.10726739130434727</v>
      </c>
      <c r="AT261" s="68">
        <f>IF($Z$3="yes", 0.316039999999998/$X261, 0.316039999999998)</f>
        <v>8.588043478260815E-2</v>
      </c>
      <c r="AU261" s="88">
        <f>IF($Z$3="yes", 0.323796000000001/$X261, 0.323796000000001)</f>
        <v>8.7988043478261141E-2</v>
      </c>
      <c r="AV261" s="88">
        <f>IF($Z$3="yes", 0.357724571428573/$X261, 0.357724571428573)</f>
        <v>9.7207763975155709E-2</v>
      </c>
      <c r="AW261" s="88">
        <f>IF($Z$3="yes", 0.361296000000001/$X261, 0.361296000000001)</f>
        <v>9.8178260869565492E-2</v>
      </c>
      <c r="AX261" s="88">
        <f>IF($Z$3="yes", 0.0787039999999996/$X261, 0.0787039999999996)</f>
        <v>2.1386956521739019E-2</v>
      </c>
      <c r="AY261" s="88">
        <f>IF($Z$3="yes", 0.00775600000000276/$X261, 0.00775600000000276)</f>
        <v>2.1076086956529237E-3</v>
      </c>
      <c r="AZ261" s="88">
        <f>IF($Z$3="yes", 0.0416845714285751/$X261, 0.0416845714285751)</f>
        <v>1.1327329192547581E-2</v>
      </c>
      <c r="BA261" s="88">
        <f>IF($Z$3="yes", 0.0452560000000032/$X261, 0.0452560000000032)</f>
        <v>1.2297826086957392E-2</v>
      </c>
      <c r="BB261" s="88">
        <f>IF($Z$3="yes", 0.0709479999999969/$X261, 0.0709479999999969)</f>
        <v>1.9279347826086115E-2</v>
      </c>
      <c r="BC261" s="88">
        <f>IF($Z$3="yes", 0.0370194285714244/$X261, 0.0370194285714244)</f>
        <v>1.0059627329191414E-2</v>
      </c>
      <c r="BD261" s="88">
        <f>IF($Z$3="yes", 0.0334479999999963/$X261, 0.0334479999999963)</f>
        <v>9.0891304347816022E-3</v>
      </c>
      <c r="BE261" s="88">
        <f>IF($Z$3="yes", 0.0339285714285724/$X261, 0.0339285714285724)</f>
        <v>9.2197204968946737E-3</v>
      </c>
      <c r="BF261" s="88">
        <f>IF($Z$3="yes", 0.0375000000000005/$X261, 0.0375000000000005)</f>
        <v>1.0190217391304483E-2</v>
      </c>
      <c r="BG261" s="88">
        <f>IF($Z$3="yes", 0.00357142857142811/$X261, 0.00357142857142811)</f>
        <v>9.7049689440981243E-4</v>
      </c>
      <c r="BH261" s="88">
        <f>IF($Z$3="yes", 0.739054789115644/$X261, 0.739054789115644)</f>
        <v>0.20083010573794674</v>
      </c>
      <c r="BI261" s="68"/>
      <c r="BJ261" s="68"/>
      <c r="BK261" s="68">
        <f>IF($BL$3="yes", MAX(0, (650826 - 612041.6) / 586516.670397218), 612041.6)</f>
        <v>612041.6</v>
      </c>
      <c r="BL261" s="68">
        <f>IF($BL$3="yes", MAX(0, (650826 - 398737.3) / 467397.536879913), 398737.3)</f>
        <v>398737.3</v>
      </c>
      <c r="BM261" s="68">
        <f>IF($BL$3="yes", MAX(0, (650826 - 320226.1) / 345152.610488012), 320226.1)</f>
        <v>320226.09999999998</v>
      </c>
      <c r="BN261" s="68">
        <f>IF($BL$3="yes", MAX(0, (650826 - 489529.99) / 972254.37302424), 489529.99)</f>
        <v>489529.99</v>
      </c>
      <c r="BO261" s="68">
        <f>IF($BL$3="yes", MAX(0, (650826 - 622403.65875) / 1654987.65796041), 622403.65875)</f>
        <v>622403.65874999994</v>
      </c>
      <c r="BP261" s="68">
        <f>IF($BL$3="yes", MAX(0, (650826 - 625102.198125) / 1715787.23807723), 625102.198125)</f>
        <v>625102.198125</v>
      </c>
      <c r="BQ261" s="68">
        <v>59.091869553553323</v>
      </c>
      <c r="BR261" s="68"/>
      <c r="BS261" s="68"/>
      <c r="BT261" s="68">
        <v>-13259343.97191608</v>
      </c>
      <c r="BU261" s="68">
        <v>134873.85355615799</v>
      </c>
      <c r="BV261" s="68">
        <f>IF($Z$3="yes", 0.190168015517132/$X261, 0.190168015517132)</f>
        <v>5.1676091173133695E-2</v>
      </c>
      <c r="BW261" s="68">
        <f>IF($Z$3="yes", 0.276713041530947/$X261, 0.276713041530947)</f>
        <v>7.5193761285583416E-2</v>
      </c>
      <c r="BX261" s="68">
        <f>$BW$92 - $BV$92</f>
        <v>6.4456322228897023E-2</v>
      </c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  <c r="CO261" s="68"/>
      <c r="CP261" s="68"/>
      <c r="CQ261" s="81"/>
      <c r="CR261" s="81"/>
      <c r="CS261" s="68"/>
      <c r="CT261" s="68"/>
      <c r="CU261" s="68"/>
    </row>
    <row r="262" spans="1:99" ht="15.75" customHeight="1" thickBot="1" x14ac:dyDescent="0.3">
      <c r="A262" s="84"/>
      <c r="B262" s="67" t="s">
        <v>128</v>
      </c>
      <c r="C262" s="67" t="s">
        <v>525</v>
      </c>
      <c r="D262" s="67" t="s">
        <v>623</v>
      </c>
      <c r="E262" s="67">
        <v>1</v>
      </c>
      <c r="F262" s="85">
        <v>1.47</v>
      </c>
      <c r="G262" s="313">
        <v>44200</v>
      </c>
      <c r="H262" s="317">
        <v>2.21</v>
      </c>
      <c r="I262" s="317">
        <v>4.8</v>
      </c>
      <c r="J262" s="313">
        <v>44390</v>
      </c>
      <c r="K262" s="130">
        <f t="shared" ref="K262:K318" si="10">IF(AND(F262&lt;&gt;"",H262&lt;&gt;""), (H262/F262)-100%, "")</f>
        <v>0.50340136054421758</v>
      </c>
      <c r="L262" s="252">
        <f t="shared" ref="L262:L318" si="11">IF(AND(F262&lt;&gt;"",I262&lt;&gt;""), (I262/F262)-100%, "")</f>
        <v>2.2653061224489797</v>
      </c>
      <c r="M262" s="312">
        <v>44407</v>
      </c>
      <c r="N262" s="68"/>
      <c r="O262" s="291">
        <v>10029433</v>
      </c>
      <c r="P262" s="291">
        <v>7400000</v>
      </c>
      <c r="Q262" s="291">
        <v>190</v>
      </c>
      <c r="R262" s="68" t="s">
        <v>131</v>
      </c>
      <c r="S262" s="68" t="s">
        <v>135</v>
      </c>
      <c r="T262" s="68" t="s">
        <v>542</v>
      </c>
      <c r="U262" s="68">
        <v>164</v>
      </c>
      <c r="V262" s="68">
        <v>1125497</v>
      </c>
      <c r="W262" s="68"/>
      <c r="X262" s="68">
        <v>1.46</v>
      </c>
      <c r="Y262" s="68">
        <v>2.1913955000000009</v>
      </c>
      <c r="Z262" s="68">
        <v>1.48793</v>
      </c>
      <c r="AA262" s="68">
        <v>1.38354</v>
      </c>
      <c r="AB262" s="68">
        <v>1.3790579999999999</v>
      </c>
      <c r="AC262" s="68">
        <v>1.5500050000000001</v>
      </c>
      <c r="AD262" s="68">
        <v>1.500007142857142</v>
      </c>
      <c r="AE262" s="68">
        <v>1.452512500000001</v>
      </c>
      <c r="AF262" s="68">
        <f>IF($Z$3="yes", -0.00973364036600925/$X262, -0.00973364036600925)</f>
        <v>-6.6668769630200348E-3</v>
      </c>
      <c r="AG262" s="68">
        <f>IF($Z$3="yes", -0.00332797959795982/$X262, -0.00332797959795982)</f>
        <v>-2.2794380807943976E-3</v>
      </c>
      <c r="AH262" s="68">
        <f>IF($Z$3="yes", 0.011124427370948/$X262, 0.011124427370948)</f>
        <v>7.6194708020191791E-3</v>
      </c>
      <c r="AI262" s="68">
        <f>IF($Z$3="yes", 0.00726701080432149/$X262, 0.00726701080432149)</f>
        <v>4.977404660494171E-3</v>
      </c>
      <c r="AJ262" s="68">
        <f>IF($Z$3="yes", -0.0162844360902241/$X262, -0.0162844360902241)</f>
        <v>-1.1153723349468561E-2</v>
      </c>
      <c r="AK262" s="68">
        <f>IF($Z$3="yes", -0.0150305494505467/$X262, -0.0150305494505467)</f>
        <v>-1.0294896883936096E-2</v>
      </c>
      <c r="AL262" s="68">
        <f>IF($Z$3="yes", -0.0195178571428584/$X262, -0.0195178571428584)</f>
        <v>-1.336839530332767E-2</v>
      </c>
      <c r="AM262" s="68">
        <f>IF($Z$3="yes", 0.703465500000001/$X262, 0.703465500000001)</f>
        <v>0.48182568493150751</v>
      </c>
      <c r="AN262" s="68">
        <f>IF($Z$3="yes", 0.807855500000001/$X262, 0.807855500000001)</f>
        <v>0.55332568493150747</v>
      </c>
      <c r="AO262" s="68">
        <f>IF($Z$3="yes", 0.812337500000001/$X262, 0.812337500000001)</f>
        <v>0.55639554794520618</v>
      </c>
      <c r="AP262" s="68">
        <f>IF($Z$3="yes", 0.641390500000001/$X262, 0.641390500000001)</f>
        <v>0.4393085616438363</v>
      </c>
      <c r="AQ262" s="68">
        <f>IF($Z$3="yes", 0.691388357142859/$X262, 0.691388357142859)</f>
        <v>0.47355366927593079</v>
      </c>
      <c r="AR262" s="68">
        <f>IF($Z$3="yes", 0.738883/$X262, 0.738883)</f>
        <v>0.50608424657534246</v>
      </c>
      <c r="AS262" s="68">
        <f>IF($Z$3="yes", 0.104389999999999/$X262, 0.104389999999999)</f>
        <v>7.1499999999999314E-2</v>
      </c>
      <c r="AT262" s="68">
        <f>IF($Z$3="yes", 0.108872/$X262, 0.108872)</f>
        <v>7.4569863013698626E-2</v>
      </c>
      <c r="AU262" s="88">
        <f>IF($Z$3="yes", 0.0620749999999994/$X262, 0.0620749999999994)</f>
        <v>4.2517123287670822E-2</v>
      </c>
      <c r="AV262" s="88">
        <f>IF($Z$3="yes", 0.0120771428571415/$X262, 0.0120771428571415)</f>
        <v>8.2720156555763698E-3</v>
      </c>
      <c r="AW262" s="88">
        <f>IF($Z$3="yes", 0.0354174999999998/$X262, 0.0354174999999998)</f>
        <v>2.4258561643835483E-2</v>
      </c>
      <c r="AX262" s="88">
        <f>IF($Z$3="yes", 0.00448200000000009/$X262, 0.00448200000000009)</f>
        <v>3.0698630136986919E-3</v>
      </c>
      <c r="AY262" s="88">
        <f>IF($Z$3="yes", 0.170946999999999/$X262, 0.170946999999999)</f>
        <v>0.11708698630136917</v>
      </c>
      <c r="AZ262" s="88">
        <f>IF($Z$3="yes", 0.120949142857141/$X262, 0.120949142857141)</f>
        <v>8.2841878669274657E-2</v>
      </c>
      <c r="BA262" s="88">
        <f>IF($Z$3="yes", 0.0734545000000002/$X262, 0.0734545000000002)</f>
        <v>5.031130136986315E-2</v>
      </c>
      <c r="BB262" s="88">
        <f>IF($Z$3="yes", 0.166464999999999/$X262, 0.166464999999999)</f>
        <v>0.11401712328767055</v>
      </c>
      <c r="BC262" s="88">
        <f>IF($Z$3="yes", 0.116467142857141/$X262, 0.116467142857141)</f>
        <v>7.977201565557604E-2</v>
      </c>
      <c r="BD262" s="88">
        <f>IF($Z$3="yes", 0.0689725000000001/$X262, 0.0689725000000001)</f>
        <v>4.7241438356164456E-2</v>
      </c>
      <c r="BE262" s="88">
        <f>IF($Z$3="yes", 0.0499978571428578/$X262, 0.0499978571428578)</f>
        <v>3.4245107632094388E-2</v>
      </c>
      <c r="BF262" s="88">
        <f>IF($Z$3="yes", 0.0974924999999993/$X262, 0.0974924999999993)</f>
        <v>6.6775684931506374E-2</v>
      </c>
      <c r="BG262" s="88">
        <f>IF($Z$3="yes", 0.0474946428571414/$X262, 0.0474946428571414)</f>
        <v>3.2530577299411924E-2</v>
      </c>
      <c r="BH262" s="88">
        <f>IF($Z$3="yes", 0.336955853741496/$X262, 0.336955853741496)</f>
        <v>0.23079168064486028</v>
      </c>
      <c r="BI262" s="68"/>
      <c r="BJ262" s="68"/>
      <c r="BK262" s="68">
        <f>IF($BL$3="yes", MAX(0, (1125497 - 943897.4) / 517360.651768802), 943897.4)</f>
        <v>943897.4</v>
      </c>
      <c r="BL262" s="68">
        <f>IF($BL$3="yes", MAX(0, (1125497 - 579334.2) / 517397.130977511), 579334.2)</f>
        <v>579334.19999999995</v>
      </c>
      <c r="BM262" s="68">
        <f>IF($BL$3="yes", MAX(0, (1125497 - 471118.35) / 413645.766753665), 471118.35)</f>
        <v>471118.35</v>
      </c>
      <c r="BN262" s="68">
        <f>IF($BL$3="yes", MAX(0, (1125497 - 2310754.94) / 11780477.7656192), 2310754.94)</f>
        <v>2310754.94</v>
      </c>
      <c r="BO262" s="68">
        <f>IF($BL$3="yes", MAX(0, (1125497 - 3001997.26) / 13284610.7775103), 3001997.26)</f>
        <v>3001997.26</v>
      </c>
      <c r="BP262" s="68">
        <f>IF($BL$3="yes", MAX(0, (1125497 - 2362126.26) / 11754173.2004636), 2362126.26)</f>
        <v>2362126.2599999998</v>
      </c>
      <c r="BQ262" s="68">
        <v>48.631669213391788</v>
      </c>
      <c r="BR262" s="68"/>
      <c r="BS262" s="68"/>
      <c r="BT262" s="68">
        <v>-96914125.018539891</v>
      </c>
      <c r="BU262" s="68">
        <v>225811.08824254569</v>
      </c>
      <c r="BV262" s="68">
        <f>IF($Z$3="yes", 0.149029816280539/$X262, 0.149029816280539)</f>
        <v>0.10207521663050616</v>
      </c>
      <c r="BW262" s="68">
        <f>IF($Z$3="yes", 0.150638645903048/$X262, 0.150638645903048)</f>
        <v>0.10317715472811508</v>
      </c>
      <c r="BX262" s="68">
        <f>$BW$102 - $BV$102</f>
        <v>3.7114573200766166E-2</v>
      </c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  <c r="CO262" s="68"/>
      <c r="CP262" s="68"/>
      <c r="CQ262" s="81"/>
      <c r="CR262" s="81"/>
      <c r="CS262" s="68"/>
      <c r="CT262" s="68"/>
      <c r="CU262" s="68"/>
    </row>
    <row r="263" spans="1:99" ht="15.75" customHeight="1" thickBot="1" x14ac:dyDescent="0.3">
      <c r="A263" s="84" t="s">
        <v>194</v>
      </c>
      <c r="B263" s="67" t="s">
        <v>128</v>
      </c>
      <c r="C263" s="83" t="s">
        <v>620</v>
      </c>
      <c r="D263" s="67" t="s">
        <v>624</v>
      </c>
      <c r="E263" s="67">
        <v>1</v>
      </c>
      <c r="F263" s="85">
        <v>4.63</v>
      </c>
      <c r="G263" s="313">
        <v>44200</v>
      </c>
      <c r="H263" s="317">
        <v>2.5550000000000002</v>
      </c>
      <c r="I263" s="85">
        <v>5.4</v>
      </c>
      <c r="J263" s="313">
        <v>44236</v>
      </c>
      <c r="K263" s="125">
        <f t="shared" si="10"/>
        <v>-0.44816414686825046</v>
      </c>
      <c r="L263" s="123">
        <f t="shared" si="11"/>
        <v>0.16630669546436305</v>
      </c>
      <c r="M263" s="312">
        <v>44407</v>
      </c>
      <c r="N263" s="68"/>
      <c r="O263" s="291">
        <v>10591716</v>
      </c>
      <c r="P263" s="291">
        <v>9920000</v>
      </c>
      <c r="Q263" s="291">
        <v>36</v>
      </c>
      <c r="R263" s="68" t="s">
        <v>131</v>
      </c>
      <c r="S263" s="68" t="s">
        <v>148</v>
      </c>
      <c r="T263" s="68" t="s">
        <v>242</v>
      </c>
      <c r="U263" s="68">
        <v>108</v>
      </c>
      <c r="V263" s="68">
        <v>177003</v>
      </c>
      <c r="W263" s="68"/>
      <c r="X263" s="68">
        <v>4.42</v>
      </c>
      <c r="Y263" s="68">
        <v>1.0355364999999881</v>
      </c>
      <c r="Z263" s="68">
        <v>1.451362</v>
      </c>
      <c r="AA263" s="68">
        <v>2.3465440000000011</v>
      </c>
      <c r="AB263" s="68">
        <v>1.552592</v>
      </c>
      <c r="AC263" s="68">
        <v>4.6685000000000016</v>
      </c>
      <c r="AD263" s="68">
        <v>4.5835714285714282</v>
      </c>
      <c r="AE263" s="68">
        <v>4.5012500000000024</v>
      </c>
      <c r="AF263" s="68">
        <f>IF($Z$3="yes", 0.0113935883147088/$X263, 0.0113935883147088)</f>
        <v>2.5777349128300454E-3</v>
      </c>
      <c r="AG263" s="68">
        <f>IF($Z$3="yes", 0.04187400060006/$X263, 0.04187400060006)</f>
        <v>9.4737557918687793E-3</v>
      </c>
      <c r="AH263" s="68">
        <f>IF($Z$3="yes", 0.121732360144057/$X263, 0.121732360144057)</f>
        <v>2.7541257951144118E-2</v>
      </c>
      <c r="AI263" s="68">
        <f>IF($Z$3="yes", 0.0940953277310923/$X263, 0.0940953277310923)</f>
        <v>2.1288535685767489E-2</v>
      </c>
      <c r="AJ263" s="68">
        <f>IF($Z$3="yes", -0.0248947368421078/$X263, -0.0248947368421078)</f>
        <v>-5.6322934031918098E-3</v>
      </c>
      <c r="AK263" s="68">
        <f>IF($Z$3="yes", -0.0220439560439563/$X263, -0.0220439560439563)</f>
        <v>-4.9873203719358146E-3</v>
      </c>
      <c r="AL263" s="68">
        <f>IF($Z$3="yes", 0.0198809523809566/$X263, 0.0198809523809566)</f>
        <v>4.4979530273657467E-3</v>
      </c>
      <c r="AM263" s="68">
        <f>IF($Z$3="yes", 0.415825500000011/$X263, 0.415825500000011)</f>
        <v>9.4078167420816969E-2</v>
      </c>
      <c r="AN263" s="68">
        <f>IF($Z$3="yes", 1.31100750000001/$X263, 1.31100750000001)</f>
        <v>0.29660803167421046</v>
      </c>
      <c r="AO263" s="68">
        <f>IF($Z$3="yes", 0.517055500000012/$X263, 0.517055500000012)</f>
        <v>0.11698088235294389</v>
      </c>
      <c r="AP263" s="68">
        <f>IF($Z$3="yes", 3.63296350000001/$X263, 3.63296350000001)</f>
        <v>0.82193744343891628</v>
      </c>
      <c r="AQ263" s="68">
        <f>IF($Z$3="yes", 3.54803492857144/$X263, 3.54803492857144)</f>
        <v>0.80272283451842541</v>
      </c>
      <c r="AR263" s="68">
        <f>IF($Z$3="yes", 3.46571350000001/$X263, 3.46571350000001)</f>
        <v>0.7840980769230792</v>
      </c>
      <c r="AS263" s="68">
        <f>IF($Z$3="yes", 0.895182/$X263, 0.895182)</f>
        <v>0.20252986425339367</v>
      </c>
      <c r="AT263" s="68">
        <f>IF($Z$3="yes", 0.10123/$X263, 0.10123)</f>
        <v>2.2902714932126696E-2</v>
      </c>
      <c r="AU263" s="88">
        <f>IF($Z$3="yes", 3.217138/$X263, 3.217138)</f>
        <v>0.72785927601809952</v>
      </c>
      <c r="AV263" s="88">
        <f>IF($Z$3="yes", 3.13220942857142/$X263, 3.13220942857142)</f>
        <v>0.70864466709760643</v>
      </c>
      <c r="AW263" s="88">
        <f>IF($Z$3="yes", 3.049888/$X263, 3.049888)</f>
        <v>0.69001990950226244</v>
      </c>
      <c r="AX263" s="88">
        <f>IF($Z$3="yes", 0.793952/$X263, 0.793952)</f>
        <v>0.17962714932126697</v>
      </c>
      <c r="AY263" s="88">
        <f>IF($Z$3="yes", 3.115908/$X263, 3.115908)</f>
        <v>0.70495656108597293</v>
      </c>
      <c r="AZ263" s="88">
        <f>IF($Z$3="yes", 3.03097942857142/$X263, 3.03097942857142)</f>
        <v>0.68574195216547962</v>
      </c>
      <c r="BA263" s="88">
        <f>IF($Z$3="yes", 2.948658/$X263, 2.948658)</f>
        <v>0.66711719457013574</v>
      </c>
      <c r="BB263" s="88">
        <f>IF($Z$3="yes", 2.321956/$X263, 2.321956)</f>
        <v>0.52532941176470593</v>
      </c>
      <c r="BC263" s="88">
        <f>IF($Z$3="yes", 2.23702742857142/$X263, 2.23702742857142)</f>
        <v>0.50611480284421273</v>
      </c>
      <c r="BD263" s="88">
        <f>IF($Z$3="yes", 2.154706/$X263, 2.154706)</f>
        <v>0.4874900452488688</v>
      </c>
      <c r="BE263" s="88">
        <f>IF($Z$3="yes", 0.0849285714285734/$X263, 0.0849285714285734)</f>
        <v>1.9214608920491719E-2</v>
      </c>
      <c r="BF263" s="88">
        <f>IF($Z$3="yes", 0.167249999999999/$X263, 0.167249999999999)</f>
        <v>3.7839366515836879E-2</v>
      </c>
      <c r="BG263" s="88">
        <f>IF($Z$3="yes", 0.0823214285714257/$X263, 0.0823214285714257)</f>
        <v>1.8624757595345182E-2</v>
      </c>
      <c r="BH263" s="88">
        <f>IF($Z$3="yes", 2.26580586394558/$X263, 2.26580586394558)</f>
        <v>0.51262576107366065</v>
      </c>
      <c r="BI263" s="68"/>
      <c r="BJ263" s="68"/>
      <c r="BK263" s="68">
        <f>IF($BL$3="yes", MAX(0, (177003 - 190948) / 99280.4072997285), 190948)</f>
        <v>190948</v>
      </c>
      <c r="BL263" s="68">
        <f>IF($BL$3="yes", MAX(0, (177003 - 155334.4) / 85787.6624884953), 155334.4)</f>
        <v>155334.39999999999</v>
      </c>
      <c r="BM263" s="68">
        <f>IF($BL$3="yes", MAX(0, (177003 - 200686.7) / 202388.214101291), 200686.7)</f>
        <v>200686.7</v>
      </c>
      <c r="BN263" s="68">
        <f>IF($BL$3="yes", MAX(0, (177003 - 725553.4) / 1973517.93916933), 725553.4)</f>
        <v>725553.4</v>
      </c>
      <c r="BO263" s="68">
        <f>IF($BL$3="yes", MAX(0, (177003 - 3567579.52) / 26717826.6776479), 3567579.52)</f>
        <v>3567579.52</v>
      </c>
      <c r="BP263" s="68">
        <f>IF($BL$3="yes", MAX(0, (177003 - 2394023.3) / 18960921.9926171), 2394023.3)</f>
        <v>2394023.2999999998</v>
      </c>
      <c r="BQ263" s="68">
        <v>64.026289943968322</v>
      </c>
      <c r="BR263" s="68"/>
      <c r="BS263" s="68"/>
      <c r="BT263" s="68">
        <v>-268187770.13672701</v>
      </c>
      <c r="BU263" s="68">
        <v>-65588.330439418554</v>
      </c>
      <c r="BV263" s="68">
        <f>IF($Z$3="yes", 0.323226687425979/$X263, 0.323226687425979)</f>
        <v>7.3128209824882121E-2</v>
      </c>
      <c r="BW263" s="68">
        <f>IF($Z$3="yes", 0.182403461918697/$X263, 0.182403461918697)</f>
        <v>4.1267751565316063E-2</v>
      </c>
      <c r="BX263" s="68">
        <f>$BW$100 - $BV$100</f>
        <v>2.5361944592346641E-2</v>
      </c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81"/>
      <c r="CR263" s="81"/>
      <c r="CS263" s="68"/>
      <c r="CT263" s="68"/>
      <c r="CU263" s="68"/>
    </row>
    <row r="264" spans="1:99" ht="15.75" customHeight="1" thickBot="1" x14ac:dyDescent="0.3">
      <c r="A264" s="84"/>
      <c r="B264" s="67" t="s">
        <v>128</v>
      </c>
      <c r="C264" s="83" t="s">
        <v>620</v>
      </c>
      <c r="D264" s="67" t="s">
        <v>625</v>
      </c>
      <c r="E264" s="67">
        <v>1</v>
      </c>
      <c r="F264" s="85">
        <v>3.79</v>
      </c>
      <c r="G264" s="313">
        <v>44200</v>
      </c>
      <c r="H264" s="317">
        <v>3.4</v>
      </c>
      <c r="I264" s="85">
        <v>8.18</v>
      </c>
      <c r="J264" s="313">
        <v>44217</v>
      </c>
      <c r="K264" s="162">
        <f t="shared" si="10"/>
        <v>-0.1029023746701847</v>
      </c>
      <c r="L264" s="248">
        <f t="shared" si="11"/>
        <v>1.158311345646438</v>
      </c>
      <c r="M264" s="312">
        <v>44407</v>
      </c>
      <c r="N264" s="68"/>
      <c r="O264" s="291">
        <v>15027878</v>
      </c>
      <c r="P264" s="291">
        <v>11790000</v>
      </c>
      <c r="Q264" s="291">
        <v>17</v>
      </c>
      <c r="R264" s="68" t="s">
        <v>626</v>
      </c>
      <c r="S264" s="68" t="s">
        <v>157</v>
      </c>
      <c r="T264" s="68" t="s">
        <v>217</v>
      </c>
      <c r="U264" s="68">
        <v>448</v>
      </c>
      <c r="V264" s="68">
        <v>4407976</v>
      </c>
      <c r="W264" s="68"/>
      <c r="X264" s="68">
        <v>4.5</v>
      </c>
      <c r="Y264" s="68">
        <v>2.9649544999999971</v>
      </c>
      <c r="Z264" s="68">
        <v>3.4954030000000018</v>
      </c>
      <c r="AA264" s="68">
        <v>3.289006000000001</v>
      </c>
      <c r="AB264" s="68">
        <v>3.256002000000001</v>
      </c>
      <c r="AC264" s="68">
        <v>3.574510000000001</v>
      </c>
      <c r="AD264" s="68">
        <v>3.5607285714285721</v>
      </c>
      <c r="AE264" s="68">
        <v>3.6375250000000001</v>
      </c>
      <c r="AF264" s="68">
        <f>IF($Z$3="yes", 0.0101060848271207/$X264, 0.0101060848271207)</f>
        <v>2.2457966282490444E-3</v>
      </c>
      <c r="AG264" s="68">
        <f>IF($Z$3="yes", -0.00681441404140422/$X264, -0.00681441404140422)</f>
        <v>-1.51431423142316E-3</v>
      </c>
      <c r="AH264" s="68">
        <f>IF($Z$3="yes", 0.014060643457382/$X264, 0.014060643457382)</f>
        <v>3.1245874349737778E-3</v>
      </c>
      <c r="AI264" s="68">
        <f>IF($Z$3="yes", 0.00149517887154793/$X264, 0.00149517887154793)</f>
        <v>3.3226197145509555E-4</v>
      </c>
      <c r="AJ264" s="68">
        <f>IF($Z$3="yes", 0.0134073684210506/$X264, 0.0134073684210506)</f>
        <v>2.9794152046779109E-3</v>
      </c>
      <c r="AK264" s="68">
        <f>IF($Z$3="yes", 0.0367705494505437/$X264, 0.0367705494505437)</f>
        <v>8.171233211231933E-3</v>
      </c>
      <c r="AL264" s="68">
        <f>IF($Z$3="yes", 0.0980880952380281/$X264, 0.0980880952380281)</f>
        <v>2.1797354497339577E-2</v>
      </c>
      <c r="AM264" s="68">
        <f>IF($Z$3="yes", 0.530448500000005/$X264, 0.530448500000005)</f>
        <v>0.11787744444444555</v>
      </c>
      <c r="AN264" s="68">
        <f>IF($Z$3="yes", 0.324051500000003/$X264, 0.324051500000003)</f>
        <v>7.2011444444445113E-2</v>
      </c>
      <c r="AO264" s="68">
        <f>IF($Z$3="yes", 0.291047500000003/$X264, 0.291047500000003)</f>
        <v>6.4677222222222885E-2</v>
      </c>
      <c r="AP264" s="68">
        <f>IF($Z$3="yes", 0.609555500000003/$X264, 0.609555500000003)</f>
        <v>0.13545677777777845</v>
      </c>
      <c r="AQ264" s="68">
        <f>IF($Z$3="yes", 0.595774071428575/$X264, 0.595774071428575)</f>
        <v>0.13239423809523887</v>
      </c>
      <c r="AR264" s="68">
        <f>IF($Z$3="yes", 0.672570500000003/$X264, 0.672570500000003)</f>
        <v>0.14946011111111177</v>
      </c>
      <c r="AS264" s="68">
        <f>IF($Z$3="yes", 0.206397000000001/$X264, 0.206397000000001)</f>
        <v>4.5866000000000219E-2</v>
      </c>
      <c r="AT264" s="68">
        <f>IF($Z$3="yes", 0.239401000000001/$X264, 0.239401000000001)</f>
        <v>5.3200222222222447E-2</v>
      </c>
      <c r="AU264" s="88">
        <f>IF($Z$3="yes", 0.0791069999999987/$X264, 0.0791069999999987)</f>
        <v>1.7579333333333044E-2</v>
      </c>
      <c r="AV264" s="88">
        <f>IF($Z$3="yes", 0.0653255714285698/$X264, 0.0653255714285698)</f>
        <v>1.4516793650793289E-2</v>
      </c>
      <c r="AW264" s="88">
        <f>IF($Z$3="yes", 0.142121999999997/$X264, 0.142121999999997)</f>
        <v>3.1582666666666002E-2</v>
      </c>
      <c r="AX264" s="88">
        <f>IF($Z$3="yes", 0.033004/$X264, 0.033004)</f>
        <v>7.334222222222222E-3</v>
      </c>
      <c r="AY264" s="88">
        <f>IF($Z$3="yes", 0.318508/$X264, 0.318508)</f>
        <v>7.0779555555555554E-2</v>
      </c>
      <c r="AZ264" s="88">
        <f>IF($Z$3="yes", 0.304726571428571/$X264, 0.304726571428571)</f>
        <v>6.7717015873015776E-2</v>
      </c>
      <c r="BA264" s="88">
        <f>IF($Z$3="yes", 0.381522999999999/$X264, 0.381522999999999)</f>
        <v>8.4782888888888672E-2</v>
      </c>
      <c r="BB264" s="88">
        <f>IF($Z$3="yes", 0.285504/$X264, 0.285504)</f>
        <v>6.3445333333333326E-2</v>
      </c>
      <c r="BC264" s="88">
        <f>IF($Z$3="yes", 0.271722571428571/$X264, 0.271722571428571)</f>
        <v>6.0382793650793548E-2</v>
      </c>
      <c r="BD264" s="88">
        <f>IF($Z$3="yes", 0.348518999999999/$X264, 0.348518999999999)</f>
        <v>7.7448666666666444E-2</v>
      </c>
      <c r="BE264" s="88">
        <f>IF($Z$3="yes", 0.0137814285714288/$X264, 0.0137814285714288)</f>
        <v>3.0625396825397335E-3</v>
      </c>
      <c r="BF264" s="88">
        <f>IF($Z$3="yes", 0.0630149999999991/$X264, 0.0630149999999991)</f>
        <v>1.4003333333333133E-2</v>
      </c>
      <c r="BG264" s="88">
        <f>IF($Z$3="yes", 0.0767964285714279/$X264, 0.0767964285714279)</f>
        <v>1.7065873015872868E-2</v>
      </c>
      <c r="BH264" s="88">
        <f>IF($Z$3="yes", 0.580793034013606/$X264, 0.580793034013606)</f>
        <v>0.12906511866969023</v>
      </c>
      <c r="BI264" s="68"/>
      <c r="BJ264" s="68"/>
      <c r="BK264" s="68">
        <f>IF($BL$3="yes", MAX(0, (4407976 - 1987677.6) / 1670519.54145584), 1987677.6)</f>
        <v>1987677.6</v>
      </c>
      <c r="BL264" s="68">
        <f>IF($BL$3="yes", MAX(0, (4407976 - 1214209.6) / 1416906.55505585), 1214209.6)</f>
        <v>1214209.6000000001</v>
      </c>
      <c r="BM264" s="68">
        <f>IF($BL$3="yes", MAX(0, (4407976 - 2451679.6) / 5252566.29847567), 2451679.6)</f>
        <v>2451679.6</v>
      </c>
      <c r="BN264" s="68">
        <f>IF($BL$3="yes", MAX(0, (4407976 - 1191082.24) / 3483083.71870534), 1191082.24)</f>
        <v>1191082.24</v>
      </c>
      <c r="BO264" s="68">
        <f>IF($BL$3="yes", MAX(0, (4407976 - 1043939.24) / 2848470.51904433), 1043939.24)</f>
        <v>1043939.24</v>
      </c>
      <c r="BP264" s="68">
        <f>IF($BL$3="yes", MAX(0, (4407976 - 3156008.88) / 26591372.364941), 3156008.88)</f>
        <v>3156008.88</v>
      </c>
      <c r="BQ264" s="68">
        <v>71.117883017210573</v>
      </c>
      <c r="BR264" s="68"/>
      <c r="BS264" s="68"/>
      <c r="BT264" s="68">
        <v>-85373173.366327271</v>
      </c>
      <c r="BU264" s="68">
        <v>616897.06730386615</v>
      </c>
      <c r="BV264" s="68">
        <f>IF($Z$3="yes", 0.340190040166537/$X264, 0.340190040166537)</f>
        <v>7.5597786703674882E-2</v>
      </c>
      <c r="BW264" s="68">
        <f>IF($Z$3="yes", 0.232188165834967/$X264, 0.232188165834967)</f>
        <v>5.1597370185548219E-2</v>
      </c>
      <c r="BX264" s="68">
        <f>$BW$94 - $BV$94</f>
        <v>4.2981666428624998E-2</v>
      </c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81"/>
      <c r="CR264" s="81"/>
      <c r="CS264" s="68"/>
      <c r="CT264" s="68"/>
      <c r="CU264" s="68"/>
    </row>
    <row r="265" spans="1:99" ht="15.75" customHeight="1" thickBot="1" x14ac:dyDescent="0.3">
      <c r="A265" s="84" t="s">
        <v>205</v>
      </c>
      <c r="B265" s="67" t="s">
        <v>128</v>
      </c>
      <c r="C265" s="83" t="s">
        <v>620</v>
      </c>
      <c r="D265" s="67" t="s">
        <v>627</v>
      </c>
      <c r="E265" s="67">
        <v>1</v>
      </c>
      <c r="F265" s="85">
        <v>2.68</v>
      </c>
      <c r="G265" s="313">
        <v>44200</v>
      </c>
      <c r="H265" s="317">
        <v>7.57</v>
      </c>
      <c r="I265" s="85">
        <v>13.045</v>
      </c>
      <c r="J265" s="313">
        <v>44298</v>
      </c>
      <c r="K265" s="149">
        <f t="shared" si="10"/>
        <v>1.8246268656716418</v>
      </c>
      <c r="L265" s="149">
        <f t="shared" si="11"/>
        <v>3.8675373134328357</v>
      </c>
      <c r="M265" s="312">
        <v>44407</v>
      </c>
      <c r="N265" s="68"/>
      <c r="O265" s="291">
        <v>18032018</v>
      </c>
      <c r="P265" s="291">
        <v>13800000</v>
      </c>
      <c r="Q265" s="291">
        <v>98</v>
      </c>
      <c r="R265" s="68" t="s">
        <v>131</v>
      </c>
      <c r="S265" s="68" t="s">
        <v>148</v>
      </c>
      <c r="T265" s="68" t="s">
        <v>154</v>
      </c>
      <c r="U265" s="68">
        <v>264</v>
      </c>
      <c r="V265" s="68">
        <v>866091</v>
      </c>
      <c r="W265" s="68"/>
      <c r="X265" s="68">
        <v>2.5099999999999998</v>
      </c>
      <c r="Y265" s="68" t="e">
        <v>#N/A</v>
      </c>
      <c r="Z265" s="68">
        <v>7.5440910000000034</v>
      </c>
      <c r="AA265" s="68">
        <v>4.171692000000002</v>
      </c>
      <c r="AB265" s="68">
        <v>5.7758300000000036</v>
      </c>
      <c r="AC265" s="68">
        <v>2.6190649999999969</v>
      </c>
      <c r="AD265" s="68">
        <v>2.6797357142857239</v>
      </c>
      <c r="AE265" s="68">
        <v>2.740787499999997</v>
      </c>
      <c r="AF265" s="68" t="e">
        <f>IF($Z$3="yes", #N/A/$X265, #N/A)</f>
        <v>#N/A</v>
      </c>
      <c r="AG265" s="68">
        <f>IF($Z$3="yes", -0.120020466246624/$X265, -0.120020466246624)</f>
        <v>-4.7816918823356182E-2</v>
      </c>
      <c r="AH265" s="68">
        <f>IF($Z$3="yes", -0.146205896758704/$X265, -0.146205896758704)</f>
        <v>-5.8249361258447811E-2</v>
      </c>
      <c r="AI265" s="68">
        <f>IF($Z$3="yes", -0.232301363745499/$X265, -0.232301363745499)</f>
        <v>-9.2550344121712758E-2</v>
      </c>
      <c r="AJ265" s="68">
        <f>IF($Z$3="yes", 0.0171666917293302/$X265, 0.0171666917293302)</f>
        <v>6.839319414075778E-3</v>
      </c>
      <c r="AK265" s="68">
        <f>IF($Z$3="yes", 0.0134261538461132/$X265, 0.0134261538461132)</f>
        <v>5.3490652773359364E-3</v>
      </c>
      <c r="AL265" s="68">
        <f>IF($Z$3="yes", -0.0421297619047711/$X265, -0.0421297619047711)</f>
        <v>-1.6784765699111994E-2</v>
      </c>
      <c r="AM265" s="68"/>
      <c r="AN265" s="68"/>
      <c r="AO265" s="68"/>
      <c r="AP265" s="68"/>
      <c r="AQ265" s="68"/>
      <c r="AR265" s="68"/>
      <c r="AS265" s="68">
        <f>IF($Z$3="yes", 3.372399/$X265, 3.372399)</f>
        <v>1.3435852589641435</v>
      </c>
      <c r="AT265" s="68">
        <f>IF($Z$3="yes", 1.76826099999999/$X265, 1.76826099999999)</f>
        <v>0.70448645418326306</v>
      </c>
      <c r="AU265" s="88">
        <f>IF($Z$3="yes", 4.925026/$X265, 4.925026)</f>
        <v>1.962161752988048</v>
      </c>
      <c r="AV265" s="88">
        <f>IF($Z$3="yes", 4.86435528571427/$X265, 4.86435528571427)</f>
        <v>1.937990153671024</v>
      </c>
      <c r="AW265" s="88">
        <f>IF($Z$3="yes", 4.8033035/$X265, 4.8033035)</f>
        <v>1.9136667330677293</v>
      </c>
      <c r="AX265" s="88">
        <f>IF($Z$3="yes", 1.604138/$X265, 1.604138)</f>
        <v>0.63909880478087655</v>
      </c>
      <c r="AY265" s="88">
        <f>IF($Z$3="yes", 3.156765/$X265, 3.156765)</f>
        <v>1.257675298804781</v>
      </c>
      <c r="AZ265" s="88">
        <f>IF($Z$3="yes", 3.09609428571427/$X265, 3.09609428571427)</f>
        <v>1.2335036994877571</v>
      </c>
      <c r="BA265" s="88">
        <f>IF($Z$3="yes", 3.0350425/$X265, 3.0350425)</f>
        <v>1.2091802788844621</v>
      </c>
      <c r="BB265" s="88">
        <f>IF($Z$3="yes", 1.552627/$X265, 1.552627)</f>
        <v>0.61857649402390447</v>
      </c>
      <c r="BC265" s="88">
        <f>IF($Z$3="yes", 1.49195628571427/$X265, 1.49195628571427)</f>
        <v>0.59440489470688052</v>
      </c>
      <c r="BD265" s="88">
        <f>IF($Z$3="yes", 1.4309045/$X265, 1.4309045)</f>
        <v>0.57008147410358567</v>
      </c>
      <c r="BE265" s="88">
        <f>IF($Z$3="yes", 0.0606707142857274/$X265, 0.0606707142857274)</f>
        <v>2.4171599317022872E-2</v>
      </c>
      <c r="BF265" s="88">
        <f>IF($Z$3="yes", 0.121722499999999/$X265, 0.121722499999999)</f>
        <v>4.8495019920318329E-2</v>
      </c>
      <c r="BG265" s="88">
        <f>IF($Z$3="yes", 0.0610517857142722/$X265, 0.0610517857142722)</f>
        <v>2.43234206032957E-2</v>
      </c>
      <c r="BH265" s="88">
        <f>IF($Z$3="yes", 1.94118288435374/$X265, 1.94118288435374)</f>
        <v>0.77337963520069331</v>
      </c>
      <c r="BI265" s="68"/>
      <c r="BJ265" s="68"/>
      <c r="BK265" s="68">
        <f>IF($BL$3="yes", MAX(0, (866091 - 937632.2) / 425964.968680946), 937632.2)</f>
        <v>937632.2</v>
      </c>
      <c r="BL265" s="68">
        <f>IF($BL$3="yes", MAX(0, (866091 - 2637079.5) / 4902212.41869885), 2637079.5)</f>
        <v>2637079.5</v>
      </c>
      <c r="BM265" s="68">
        <f>IF($BL$3="yes", MAX(0, (866091 - 1787158.6) / 3619875.05336672), 1787158.6)</f>
        <v>1787158.6</v>
      </c>
      <c r="BN265" s="68">
        <f>IF($BL$3="yes", MAX(0, (866091 - 904144.92) / 2426390.62566767), 904144.92)</f>
        <v>904144.92</v>
      </c>
      <c r="BO265" s="68">
        <f>IF($BL$3="yes", MAX(0, (866091 - 456616.63) / 1773226.27829052), 456616.63)</f>
        <v>456616.63</v>
      </c>
      <c r="BP265" s="68">
        <f>IF($BL$3="yes", MAX(0, (866091 - 276094.90340909) / 1354906.96257914), 276094.90340909)</f>
        <v>276094.90340909001</v>
      </c>
      <c r="BQ265" s="68">
        <v>36.451394498046753</v>
      </c>
      <c r="BR265" s="68"/>
      <c r="BS265" s="68"/>
      <c r="BT265" s="68">
        <v>-15754111.57718222</v>
      </c>
      <c r="BU265" s="68">
        <v>-478909.79889320582</v>
      </c>
      <c r="BV265" s="68">
        <f>IF($Z$3="yes", 0.371438968814029/$X265, 0.371438968814029)</f>
        <v>0.14798365291395579</v>
      </c>
      <c r="BW265" s="68">
        <f>IF($Z$3="yes", 0.620828111852062/$X265, 0.620828111852062)</f>
        <v>0.24734187723189724</v>
      </c>
      <c r="BX265" s="68">
        <f>$BW$90 - $BV$90</f>
        <v>8.7858330106031224E-3</v>
      </c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81"/>
      <c r="CR265" s="81"/>
      <c r="CS265" s="68"/>
      <c r="CT265" s="68"/>
      <c r="CU265" s="68"/>
    </row>
    <row r="266" spans="1:99" ht="15.75" customHeight="1" thickBot="1" x14ac:dyDescent="0.3">
      <c r="A266" s="84"/>
      <c r="B266" s="67" t="s">
        <v>128</v>
      </c>
      <c r="C266" s="83" t="s">
        <v>620</v>
      </c>
      <c r="D266" s="67" t="s">
        <v>628</v>
      </c>
      <c r="E266" s="67">
        <v>1</v>
      </c>
      <c r="F266" s="85">
        <v>5.98</v>
      </c>
      <c r="G266" s="313">
        <v>44200</v>
      </c>
      <c r="H266" s="317">
        <v>3.97</v>
      </c>
      <c r="I266" s="85">
        <v>11.763999999999999</v>
      </c>
      <c r="J266" s="313">
        <v>44273</v>
      </c>
      <c r="K266" s="125">
        <f t="shared" si="10"/>
        <v>-0.33612040133779264</v>
      </c>
      <c r="L266" s="241">
        <f t="shared" si="11"/>
        <v>0.96722408026755824</v>
      </c>
      <c r="M266" s="312">
        <v>44407</v>
      </c>
      <c r="N266" s="68"/>
      <c r="O266" s="291">
        <v>25170596</v>
      </c>
      <c r="P266" s="291">
        <v>21840000</v>
      </c>
      <c r="Q266" s="291">
        <v>73</v>
      </c>
      <c r="R266" s="68" t="s">
        <v>131</v>
      </c>
      <c r="S266" s="68" t="s">
        <v>148</v>
      </c>
      <c r="T266" s="68" t="s">
        <v>154</v>
      </c>
      <c r="U266" s="68">
        <v>408</v>
      </c>
      <c r="V266" s="68">
        <v>631465</v>
      </c>
      <c r="W266" s="68"/>
      <c r="X266" s="68">
        <v>6.23</v>
      </c>
      <c r="Y266" s="68">
        <v>12.50160500000001</v>
      </c>
      <c r="Z266" s="68">
        <v>10.10720999999999</v>
      </c>
      <c r="AA266" s="68">
        <v>8.4082199999999965</v>
      </c>
      <c r="AB266" s="68">
        <v>9.2972199999999958</v>
      </c>
      <c r="AC266" s="68">
        <v>6.6843000000000092</v>
      </c>
      <c r="AD266" s="68">
        <v>6.1542857142857246</v>
      </c>
      <c r="AE266" s="68">
        <v>6.123750000000002</v>
      </c>
      <c r="AF266" s="68">
        <f>IF($Z$3="yes", -0.047445514887873/$X266, -0.047445514887873)</f>
        <v>-7.6156524699635625E-3</v>
      </c>
      <c r="AG266" s="68">
        <f>IF($Z$3="yes", -0.0674803780378022/$X266, -0.0674803780378022)</f>
        <v>-1.0831521354382374E-2</v>
      </c>
      <c r="AH266" s="68">
        <f>IF($Z$3="yes", -0.100811764705878/$X266, -0.100811764705878)</f>
        <v>-1.6181663676705937E-2</v>
      </c>
      <c r="AI266" s="68">
        <f>IF($Z$3="yes", -0.0777447779111606/$X266, -0.0777447779111606)</f>
        <v>-1.2479097578035409E-2</v>
      </c>
      <c r="AJ266" s="68">
        <f>IF($Z$3="yes", -0.126679699248135/$X266, -0.126679699248135)</f>
        <v>-2.0333820104034509E-2</v>
      </c>
      <c r="AK266" s="68">
        <f>IF($Z$3="yes", -0.0087032967033576/$X266, -0.0087032967033576)</f>
        <v>-1.39699786570748E-3</v>
      </c>
      <c r="AL266" s="68">
        <f>IF($Z$3="yes", -0.014166666666672/$X266, -0.014166666666672)</f>
        <v>-2.2739432851800962E-3</v>
      </c>
      <c r="AM266" s="68">
        <f>IF($Z$3="yes", 2.39439500000002/$X266, 2.39439500000002)</f>
        <v>0.38433306581059706</v>
      </c>
      <c r="AN266" s="68">
        <f>IF($Z$3="yes", 4.09338500000001/$X266, 4.09338500000001)</f>
        <v>0.65704414125200805</v>
      </c>
      <c r="AO266" s="68">
        <f>IF($Z$3="yes", 3.20438500000001/$X266, 3.20438500000001)</f>
        <v>0.5143475120385248</v>
      </c>
      <c r="AP266" s="68">
        <f>IF($Z$3="yes", 5.817305/$X266, 5.817305)</f>
        <v>0.93375682182985553</v>
      </c>
      <c r="AQ266" s="68">
        <f>IF($Z$3="yes", 6.34731928571428/$X266, 6.34731928571428)</f>
        <v>1.0188313460215537</v>
      </c>
      <c r="AR266" s="68">
        <f>IF($Z$3="yes", 6.37785500000001/$X266, 6.37785500000001)</f>
        <v>1.0237327447833082</v>
      </c>
      <c r="AS266" s="68">
        <f>IF($Z$3="yes", 1.69898999999998/$X266, 1.69898999999998)</f>
        <v>0.27271107544140927</v>
      </c>
      <c r="AT266" s="68">
        <f>IF($Z$3="yes", 0.80998999999999/$X266, 0.80998999999999)</f>
        <v>0.13001444622792777</v>
      </c>
      <c r="AU266" s="88">
        <f>IF($Z$3="yes", 3.42290999999997/$X266, 3.42290999999997)</f>
        <v>0.54942375601925686</v>
      </c>
      <c r="AV266" s="88">
        <f>IF($Z$3="yes", 3.95292428571426/$X266, 3.95292428571426)</f>
        <v>0.63449828021095667</v>
      </c>
      <c r="AW266" s="88">
        <f>IF($Z$3="yes", 3.98345999999998/$X266, 3.98345999999998)</f>
        <v>0.63939967897270944</v>
      </c>
      <c r="AX266" s="88">
        <f>IF($Z$3="yes", 0.888999999999999/$X266, 0.888999999999999)</f>
        <v>0.14269662921348297</v>
      </c>
      <c r="AY266" s="88">
        <f>IF($Z$3="yes", 2.61291999999998/$X266, 2.61291999999998)</f>
        <v>0.41940930979132901</v>
      </c>
      <c r="AZ266" s="88">
        <f>IF($Z$3="yes", 3.14293428571427/$X266, 3.14293428571427)</f>
        <v>0.50448383398302887</v>
      </c>
      <c r="BA266" s="88">
        <f>IF($Z$3="yes", 3.17346999999999/$X266, 3.17346999999999)</f>
        <v>0.50938523274478165</v>
      </c>
      <c r="BB266" s="88">
        <f>IF($Z$3="yes", 1.72391999999998/$X266, 1.72391999999998)</f>
        <v>0.27671268057784587</v>
      </c>
      <c r="BC266" s="88">
        <f>IF($Z$3="yes", 2.25393428571427/$X266, 2.25393428571427)</f>
        <v>0.36178720476954573</v>
      </c>
      <c r="BD266" s="88">
        <f>IF($Z$3="yes", 2.28446999999999/$X266, 2.28446999999999)</f>
        <v>0.36668860353129851</v>
      </c>
      <c r="BE266" s="88">
        <f>IF($Z$3="yes", 0.530014285714283/$X266, 0.530014285714283)</f>
        <v>8.5074524191698711E-2</v>
      </c>
      <c r="BF266" s="88">
        <f>IF($Z$3="yes", 0.560550000000007/$X266, 0.560550000000007)</f>
        <v>8.9975922953452164E-2</v>
      </c>
      <c r="BG266" s="88">
        <f>IF($Z$3="yes", 0.0305357142857234/$X266, 0.0305357142857234)</f>
        <v>4.9013987617533544E-3</v>
      </c>
      <c r="BH266" s="88">
        <f>IF($Z$3="yes", 3.09975823129251/$X266, 3.09975823129251)</f>
        <v>0.49755348816894218</v>
      </c>
      <c r="BI266" s="68"/>
      <c r="BJ266" s="68"/>
      <c r="BK266" s="68">
        <f>IF($BL$3="yes", MAX(0, (631465 - 725231.6) / 207311.666826158), 725231.6)</f>
        <v>725231.6</v>
      </c>
      <c r="BL266" s="68">
        <f>IF($BL$3="yes", MAX(0, (631465 - 809509.5) / 364707.467621448), 809509.5)</f>
        <v>809509.5</v>
      </c>
      <c r="BM266" s="68">
        <f>IF($BL$3="yes", MAX(0, (631465 - 1669513.015) / 2668550.79682166), 1669513.015)</f>
        <v>1669513.0149999999</v>
      </c>
      <c r="BN266" s="68">
        <f>IF($BL$3="yes", MAX(0, (631465 - 816616.806) / 1827986.73838761), 816616.806)</f>
        <v>816616.80599999998</v>
      </c>
      <c r="BO266" s="68">
        <f>IF($BL$3="yes", MAX(0, (631465 - 594095.668999999) / 1320315.69947107), 594095.668999999)</f>
        <v>594095.66899999895</v>
      </c>
      <c r="BP266" s="68">
        <f>IF($BL$3="yes", MAX(0, (631465 - 1000000.51449999) / 1694933.3887688), 1000000.51449999)</f>
        <v>1000000.51449999</v>
      </c>
      <c r="BQ266" s="68">
        <v>37.562553984992697</v>
      </c>
      <c r="BR266" s="68"/>
      <c r="BS266" s="68"/>
      <c r="BT266" s="68">
        <v>-5712342.2920756796</v>
      </c>
      <c r="BU266" s="68">
        <v>-33831.152797280811</v>
      </c>
      <c r="BV266" s="68">
        <f>IF($Z$3="yes", 0.55489986403751/$X266, 0.55489986403751)</f>
        <v>8.9068999042938996E-2</v>
      </c>
      <c r="BW266" s="68">
        <f>IF($Z$3="yes", 0.660084863164882/$X266, 0.660084863164882)</f>
        <v>0.10595262651121701</v>
      </c>
      <c r="BX266" s="68">
        <f>$BW$91 - $BV$91</f>
        <v>-0.73375807489700895</v>
      </c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81"/>
      <c r="CR266" s="81"/>
      <c r="CS266" s="68"/>
      <c r="CT266" s="68"/>
      <c r="CU266" s="68"/>
    </row>
    <row r="267" spans="1:99" ht="15.75" customHeight="1" thickBot="1" x14ac:dyDescent="0.3">
      <c r="A267" s="84" t="s">
        <v>194</v>
      </c>
      <c r="B267" s="67" t="s">
        <v>128</v>
      </c>
      <c r="C267" s="83" t="s">
        <v>620</v>
      </c>
      <c r="D267" s="67" t="s">
        <v>629</v>
      </c>
      <c r="E267" s="67">
        <v>1</v>
      </c>
      <c r="F267" s="85">
        <v>1.99</v>
      </c>
      <c r="G267" s="313">
        <v>44200</v>
      </c>
      <c r="H267" s="317">
        <v>1.85</v>
      </c>
      <c r="I267" s="85">
        <v>11.62</v>
      </c>
      <c r="J267" s="313">
        <v>44244</v>
      </c>
      <c r="K267" s="89">
        <f t="shared" si="10"/>
        <v>-7.0351758793969821E-2</v>
      </c>
      <c r="L267" s="149">
        <f t="shared" si="11"/>
        <v>4.8391959798994968</v>
      </c>
      <c r="M267" s="312">
        <v>44407</v>
      </c>
      <c r="N267" s="68"/>
      <c r="O267" s="291">
        <v>35916323</v>
      </c>
      <c r="P267" s="291">
        <v>25160000</v>
      </c>
      <c r="Q267" s="291">
        <v>44</v>
      </c>
      <c r="R267" s="68" t="s">
        <v>152</v>
      </c>
      <c r="S267" s="68" t="s">
        <v>630</v>
      </c>
      <c r="T267" s="68" t="s">
        <v>631</v>
      </c>
      <c r="U267" s="68">
        <v>192</v>
      </c>
      <c r="V267" s="68">
        <v>1722643</v>
      </c>
      <c r="W267" s="68"/>
      <c r="X267" s="68">
        <v>2.2400000000000002</v>
      </c>
      <c r="Y267" s="68">
        <v>1.627080000000001</v>
      </c>
      <c r="Z267" s="68">
        <v>1.4492799999999999</v>
      </c>
      <c r="AA267" s="68">
        <v>1.7160300000000011</v>
      </c>
      <c r="AB267" s="68">
        <v>1.6034240000000011</v>
      </c>
      <c r="AC267" s="68">
        <v>1.7130749999999999</v>
      </c>
      <c r="AD267" s="68">
        <v>1.727142857142856</v>
      </c>
      <c r="AE267" s="68">
        <v>1.759999999999998</v>
      </c>
      <c r="AF267" s="68">
        <f>IF($Z$3="yes", -0.00136375444386119/$X267, -0.00136375444386119)</f>
        <v>-6.0881894815231687E-4</v>
      </c>
      <c r="AG267" s="68">
        <f>IF($Z$3="yes", 0.0065974713471347/$X267, 0.0065974713471347)</f>
        <v>2.9452997085422767E-3</v>
      </c>
      <c r="AH267" s="68">
        <f>IF($Z$3="yes", -0.00105942376950825/$X267, -0.00105942376950825)</f>
        <v>-4.7295703995904012E-4</v>
      </c>
      <c r="AI267" s="68">
        <f>IF($Z$3="yes", 0.00993377190876309/$X267, 0.00993377190876309)</f>
        <v>4.4347196021263793E-3</v>
      </c>
      <c r="AJ267" s="68">
        <f>IF($Z$3="yes", 0.00895676691729658/$X267, 0.00895676691729658)</f>
        <v>3.9985566595074013E-3</v>
      </c>
      <c r="AK267" s="68">
        <f>IF($Z$3="yes", 0.0196043956044006/$X267, 0.0196043956044006)</f>
        <v>8.7519623233931233E-3</v>
      </c>
      <c r="AL267" s="68">
        <f>IF($Z$3="yes", 0.0740476190476261/$X267, 0.0740476190476261)</f>
        <v>3.3056972789118795E-2</v>
      </c>
      <c r="AM267" s="68">
        <f>IF($Z$3="yes", 0.177800000000001/$X267, 0.177800000000001)</f>
        <v>7.9375000000000445E-2</v>
      </c>
      <c r="AN267" s="68">
        <f>IF($Z$3="yes", 0.08895/$X267, 0.08895)</f>
        <v>3.9709821428571428E-2</v>
      </c>
      <c r="AO267" s="68">
        <f>IF($Z$3="yes", 0.0236559999999999/$X267, 0.0236559999999999)</f>
        <v>1.0560714285714239E-2</v>
      </c>
      <c r="AP267" s="68">
        <f>IF($Z$3="yes", 0.0859949999999993/$X267, 0.0859949999999993)</f>
        <v>3.8390624999999678E-2</v>
      </c>
      <c r="AQ267" s="68">
        <f>IF($Z$3="yes", 0.100062857142855/$X267, 0.100062857142855)</f>
        <v>4.4670918367345977E-2</v>
      </c>
      <c r="AR267" s="68">
        <f>IF($Z$3="yes", 0.132919999999997/$X267, 0.132919999999997)</f>
        <v>5.9339285714284373E-2</v>
      </c>
      <c r="AS267" s="68">
        <f>IF($Z$3="yes", 0.266750000000001/$X267, 0.266750000000001)</f>
        <v>0.11908482142857185</v>
      </c>
      <c r="AT267" s="68">
        <f>IF($Z$3="yes", 0.154144000000001/$X267, 0.154144000000001)</f>
        <v>6.8814285714286161E-2</v>
      </c>
      <c r="AU267" s="88">
        <f>IF($Z$3="yes", 0.263795/$X267, 0.263795)</f>
        <v>0.11776562499999998</v>
      </c>
      <c r="AV267" s="88">
        <f>IF($Z$3="yes", 0.277862857142856/$X267, 0.277862857142856)</f>
        <v>0.12404591836734642</v>
      </c>
      <c r="AW267" s="88">
        <f>IF($Z$3="yes", 0.310719999999998/$X267, 0.310719999999998)</f>
        <v>0.13871428571428482</v>
      </c>
      <c r="AX267" s="88">
        <f>IF($Z$3="yes", 0.112605999999999/$X267, 0.112605999999999)</f>
        <v>5.0270535714285261E-2</v>
      </c>
      <c r="AY267" s="88">
        <f>IF($Z$3="yes", 0.109650999999999/$X267, 0.109650999999999)</f>
        <v>4.8951339285713831E-2</v>
      </c>
      <c r="AZ267" s="88">
        <f>IF($Z$3="yes", 0.123718857142855/$X267, 0.123718857142855)</f>
        <v>5.5231632653060261E-2</v>
      </c>
      <c r="BA267" s="88">
        <f>IF($Z$3="yes", 0.156575999999996/$X267, 0.156575999999996)</f>
        <v>6.98999999999982E-2</v>
      </c>
      <c r="BB267" s="88">
        <f>IF($Z$3="yes", 0.0029550000000007/$X267, 0.0029550000000007)</f>
        <v>1.3191964285717409E-3</v>
      </c>
      <c r="BC267" s="88">
        <f>IF($Z$3="yes", 0.0111128571428551/$X267, 0.0111128571428551)</f>
        <v>4.9610969387745979E-3</v>
      </c>
      <c r="BD267" s="88">
        <f>IF($Z$3="yes", 0.0439699999999969/$X267, 0.0439699999999969)</f>
        <v>1.9629464285712901E-2</v>
      </c>
      <c r="BE267" s="88">
        <f>IF($Z$3="yes", 0.0140678571428558/$X267, 0.0140678571428558)</f>
        <v>6.2802933673463384E-3</v>
      </c>
      <c r="BF267" s="88">
        <f>IF($Z$3="yes", 0.0469249999999976/$X267, 0.0469249999999976)</f>
        <v>2.0948660714284643E-2</v>
      </c>
      <c r="BG267" s="88">
        <f>IF($Z$3="yes", 0.0328571428571418/$X267, 0.0328571428571418)</f>
        <v>1.4668367346938303E-2</v>
      </c>
      <c r="BH267" s="88">
        <f>IF($Z$3="yes", 0.274166108843536/$X267, 0.274166108843536)</f>
        <v>0.12239558430514998</v>
      </c>
      <c r="BI267" s="68"/>
      <c r="BJ267" s="68"/>
      <c r="BK267" s="68">
        <f>IF($BL$3="yes", MAX(0, (1722643 - 620032.6) / 636584.455268144), 620032.6)</f>
        <v>620032.6</v>
      </c>
      <c r="BL267" s="68">
        <f>IF($BL$3="yes", MAX(0, (1722643 - 371174.8) / 514884.545251224), 371174.8)</f>
        <v>371174.8</v>
      </c>
      <c r="BM267" s="68">
        <f>IF($BL$3="yes", MAX(0, (1722643 - 394896.15) / 468731.7182927), 394896.15)</f>
        <v>394896.15</v>
      </c>
      <c r="BN267" s="68">
        <f>IF($BL$3="yes", MAX(0, (1722643 - 259552.58) / 380229.853706207), 259552.58)</f>
        <v>259552.58</v>
      </c>
      <c r="BO267" s="68">
        <f>IF($BL$3="yes", MAX(0, (1722643 - 508897.56) / 3049535.29393233), 508897.56)</f>
        <v>508897.56</v>
      </c>
      <c r="BP267" s="68">
        <f>IF($BL$3="yes", MAX(0, (1722643 - 266829.875) / 2170031.32755211), 266829.875)</f>
        <v>266829.875</v>
      </c>
      <c r="BQ267" s="68">
        <v>69.113314062147481</v>
      </c>
      <c r="BR267" s="68"/>
      <c r="BS267" s="68"/>
      <c r="BT267" s="68">
        <v>-18616199.17131675</v>
      </c>
      <c r="BU267" s="68">
        <v>233427.39461076629</v>
      </c>
      <c r="BV267" s="68">
        <f>IF($Z$3="yes", 0.229786990319826/$X267, 0.229786990319826)</f>
        <v>0.10258347782135088</v>
      </c>
      <c r="BW267" s="68">
        <f>IF($Z$3="yes", 0.247629283495215/$X267, 0.247629283495215)</f>
        <v>0.11054878727464955</v>
      </c>
      <c r="BX267" s="68">
        <f>$BW$93 - $BV$93</f>
        <v>7.0660589258309953E-2</v>
      </c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81"/>
      <c r="CR267" s="81"/>
      <c r="CS267" s="68"/>
      <c r="CT267" s="68"/>
      <c r="CU267" s="68"/>
    </row>
    <row r="268" spans="1:99" ht="15.75" customHeight="1" thickBot="1" x14ac:dyDescent="0.3">
      <c r="A268" s="84"/>
      <c r="B268" s="67" t="s">
        <v>128</v>
      </c>
      <c r="C268" s="83" t="s">
        <v>620</v>
      </c>
      <c r="D268" s="67" t="s">
        <v>632</v>
      </c>
      <c r="E268" s="67">
        <v>1</v>
      </c>
      <c r="F268" s="85">
        <v>2.4700000000000002</v>
      </c>
      <c r="G268" s="313">
        <v>44200</v>
      </c>
      <c r="H268" s="317">
        <v>1.1000000000000001</v>
      </c>
      <c r="I268" s="85">
        <v>3.49</v>
      </c>
      <c r="J268" s="313">
        <v>44237</v>
      </c>
      <c r="K268" s="125">
        <f t="shared" si="10"/>
        <v>-0.55465587044534415</v>
      </c>
      <c r="L268" s="139">
        <f t="shared" si="11"/>
        <v>0.41295546558704443</v>
      </c>
      <c r="M268" s="312">
        <v>44407</v>
      </c>
      <c r="N268" s="68"/>
      <c r="O268" s="291">
        <v>35419632</v>
      </c>
      <c r="P268" s="291">
        <v>35190000</v>
      </c>
      <c r="Q268" s="291">
        <v>37</v>
      </c>
      <c r="R268" s="68" t="s">
        <v>345</v>
      </c>
      <c r="S268" s="68" t="s">
        <v>148</v>
      </c>
      <c r="T268" s="68" t="s">
        <v>154</v>
      </c>
      <c r="U268" s="68">
        <v>224</v>
      </c>
      <c r="V268" s="68">
        <v>605794</v>
      </c>
      <c r="W268" s="68"/>
      <c r="X268" s="68">
        <v>2.52</v>
      </c>
      <c r="Y268" s="68">
        <v>0.87322750000000082</v>
      </c>
      <c r="Z268" s="68">
        <v>1.057047000000001</v>
      </c>
      <c r="AA268" s="68">
        <v>1.526292</v>
      </c>
      <c r="AB268" s="68">
        <v>1.1356120000000001</v>
      </c>
      <c r="AC268" s="68">
        <v>2.778</v>
      </c>
      <c r="AD268" s="68">
        <v>2.5107142857142848</v>
      </c>
      <c r="AE268" s="68">
        <v>2.5562500000000008</v>
      </c>
      <c r="AF268" s="68">
        <f>IF($Z$3="yes", 0.00587109930248247/$X268, 0.00587109930248247)</f>
        <v>2.3298013105089166E-3</v>
      </c>
      <c r="AG268" s="68">
        <f>IF($Z$3="yes", 0.0219265904590458/$X268, 0.0219265904590458)</f>
        <v>8.7010279599388091E-3</v>
      </c>
      <c r="AH268" s="68">
        <f>IF($Z$3="yes", 0.0645907707082831/$X268, 0.0645907707082831)</f>
        <v>2.5631258217572662E-2</v>
      </c>
      <c r="AI268" s="68">
        <f>IF($Z$3="yes", 0.053442919567827/$X268, 0.053442919567827)</f>
        <v>2.1207507765010715E-2</v>
      </c>
      <c r="AJ268" s="68">
        <f>IF($Z$3="yes", -0.0600601503759396/$X268, -0.0600601503759396)</f>
        <v>-2.3833393006325237E-2</v>
      </c>
      <c r="AK268" s="68">
        <f>IF($Z$3="yes", 0.00591208791208731/$X268, 0.00591208791208731)</f>
        <v>2.3460666317806785E-3</v>
      </c>
      <c r="AL268" s="68">
        <f>IF($Z$3="yes", -0.0327380952380921/$X268, -0.0327380952380921)</f>
        <v>-1.2991307634163533E-2</v>
      </c>
      <c r="AM268" s="68">
        <f>IF($Z$3="yes", 0.183819499999999/$X268, 0.183819499999999)</f>
        <v>7.2944246031745638E-2</v>
      </c>
      <c r="AN268" s="68">
        <f>IF($Z$3="yes", 0.653064499999999/$X268, 0.653064499999999)</f>
        <v>0.25915257936507896</v>
      </c>
      <c r="AO268" s="68">
        <f>IF($Z$3="yes", 0.262384499999999/$X268, 0.262384499999999)</f>
        <v>0.10412083333333294</v>
      </c>
      <c r="AP268" s="68">
        <f>IF($Z$3="yes", 1.90477249999999/$X268, 1.90477249999999)</f>
        <v>0.75586210317459923</v>
      </c>
      <c r="AQ268" s="68">
        <f>IF($Z$3="yes", 1.63748678571428/$X268, 1.63748678571428)</f>
        <v>0.64979634353741278</v>
      </c>
      <c r="AR268" s="68">
        <f>IF($Z$3="yes", 1.68302249999999/$X268, 1.68302249999999)</f>
        <v>0.66786607142856746</v>
      </c>
      <c r="AS268" s="68">
        <f>IF($Z$3="yes", 0.469244999999999/$X268, 0.469244999999999)</f>
        <v>0.18620833333333295</v>
      </c>
      <c r="AT268" s="68">
        <f>IF($Z$3="yes", 0.0785649999999995/$X268, 0.0785649999999995)</f>
        <v>3.1176587301587101E-2</v>
      </c>
      <c r="AU268" s="88">
        <f>IF($Z$3="yes", 1.72095299999999/$X268, 1.72095299999999)</f>
        <v>0.68291785714285314</v>
      </c>
      <c r="AV268" s="88">
        <f>IF($Z$3="yes", 1.45366728571428/$X268, 1.45366728571428)</f>
        <v>0.57685209750566668</v>
      </c>
      <c r="AW268" s="88">
        <f>IF($Z$3="yes", 1.499203/$X268, 1.499203)</f>
        <v>0.59492182539682537</v>
      </c>
      <c r="AX268" s="88">
        <f>IF($Z$3="yes", 0.390679999999999/$X268, 0.390679999999999)</f>
        <v>0.15503174603174563</v>
      </c>
      <c r="AY268" s="88">
        <f>IF($Z$3="yes", 1.64238799999999/$X268, 1.64238799999999)</f>
        <v>0.6517412698412659</v>
      </c>
      <c r="AZ268" s="88">
        <f>IF($Z$3="yes", 1.37510228571428/$X268, 1.37510228571428)</f>
        <v>0.54567551020407934</v>
      </c>
      <c r="BA268" s="88">
        <f>IF($Z$3="yes", 1.420638/$X268, 1.420638)</f>
        <v>0.56374523809523813</v>
      </c>
      <c r="BB268" s="88">
        <f>IF($Z$3="yes", 1.25170799999999/$X268, 1.25170799999999)</f>
        <v>0.49670952380951988</v>
      </c>
      <c r="BC268" s="88">
        <f>IF($Z$3="yes", 0.984422285714284/$X268, 0.984422285714284)</f>
        <v>0.39064376417233493</v>
      </c>
      <c r="BD268" s="88">
        <f>IF($Z$3="yes", 1.029958/$X268, 1.029958)</f>
        <v>0.40871349206349206</v>
      </c>
      <c r="BE268" s="88">
        <f>IF($Z$3="yes", 0.267285714285715/$X268, 0.267285714285715)</f>
        <v>0.10606575963718849</v>
      </c>
      <c r="BF268" s="88">
        <f>IF($Z$3="yes", 0.221749999999999/$X268, 0.221749999999999)</f>
        <v>8.799603174603135E-2</v>
      </c>
      <c r="BG268" s="88">
        <f>IF($Z$3="yes", 0.045535714285716/$X268, 0.045535714285716)</f>
        <v>1.8069727891157142E-2</v>
      </c>
      <c r="BH268" s="88">
        <f>IF($Z$3="yes", 1.16217770748299/$X268, 1.16217770748299)</f>
        <v>0.46118162995356743</v>
      </c>
      <c r="BI268" s="68"/>
      <c r="BJ268" s="68"/>
      <c r="BK268" s="68">
        <f>IF($BL$3="yes", MAX(0, (605794 - 723523.4) / 88629.6799579012), 723523.4)</f>
        <v>723523.4</v>
      </c>
      <c r="BL268" s="68">
        <f>IF($BL$3="yes", MAX(0, (605794 - 705073.4) / 176429.750107627), 705073.4)</f>
        <v>705073.4</v>
      </c>
      <c r="BM268" s="68">
        <f>IF($BL$3="yes", MAX(0, (605794 - 940151.95) / 964266.90468477), 940151.95)</f>
        <v>940151.95</v>
      </c>
      <c r="BN268" s="68">
        <f>IF($BL$3="yes", MAX(0, (605794 - 1641580.588) / 1163788.08072442), 1641580.588)</f>
        <v>1641580.588</v>
      </c>
      <c r="BO268" s="68">
        <f>IF($BL$3="yes", MAX(0, (605794 - 1620043.484) / 969780.210499259), 1620043.484)</f>
        <v>1620043.4839999999</v>
      </c>
      <c r="BP268" s="68">
        <f>IF($BL$3="yes", MAX(0, (605794 - 4334723.937) / 8714709.69087995), 4334723.937)</f>
        <v>4334723.9369999999</v>
      </c>
      <c r="BQ268" s="68">
        <v>56.679659683588497</v>
      </c>
      <c r="BR268" s="68"/>
      <c r="BS268" s="68"/>
      <c r="BT268" s="68">
        <v>-94091381.919154435</v>
      </c>
      <c r="BU268" s="68">
        <v>55089.815661549568</v>
      </c>
      <c r="BV268" s="68">
        <f>IF($Z$3="yes", 0.222133400602757/$X268, 0.222133400602757)</f>
        <v>8.8148174842363883E-2</v>
      </c>
      <c r="BW268" s="68">
        <f>IF($Z$3="yes", 0.142262346035729/$X268, 0.142262346035729)</f>
        <v>5.6453311918940076E-2</v>
      </c>
      <c r="BX268" s="68">
        <f>$BW$98 - $BV$98</f>
        <v>5.8914604074609994E-2</v>
      </c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81"/>
      <c r="CR268" s="81"/>
      <c r="CS268" s="68"/>
      <c r="CT268" s="68"/>
      <c r="CU268" s="68"/>
    </row>
    <row r="269" spans="1:99" ht="15.75" customHeight="1" thickBot="1" x14ac:dyDescent="0.3">
      <c r="A269" s="84" t="s">
        <v>205</v>
      </c>
      <c r="B269" s="67" t="s">
        <v>128</v>
      </c>
      <c r="C269" s="83" t="s">
        <v>620</v>
      </c>
      <c r="D269" s="67" t="s">
        <v>465</v>
      </c>
      <c r="E269" s="67">
        <v>1</v>
      </c>
      <c r="F269" s="85">
        <v>1.89</v>
      </c>
      <c r="G269" s="313">
        <v>44200</v>
      </c>
      <c r="H269" s="317">
        <v>0.50990000000000002</v>
      </c>
      <c r="I269" s="85">
        <v>4.2699999999999996</v>
      </c>
      <c r="J269" s="313">
        <v>44232</v>
      </c>
      <c r="K269" s="125">
        <f t="shared" si="10"/>
        <v>-0.7302116402116402</v>
      </c>
      <c r="L269" s="250">
        <f t="shared" si="11"/>
        <v>1.2592592592592591</v>
      </c>
      <c r="M269" s="312">
        <v>44407</v>
      </c>
      <c r="N269" s="68"/>
      <c r="O269" s="291">
        <v>104325637</v>
      </c>
      <c r="P269" s="291">
        <v>42610000</v>
      </c>
      <c r="Q269" s="291">
        <v>32</v>
      </c>
      <c r="R269" s="68" t="s">
        <v>152</v>
      </c>
      <c r="S269" s="68" t="s">
        <v>132</v>
      </c>
      <c r="T269" s="67" t="s">
        <v>214</v>
      </c>
      <c r="U269" s="68">
        <v>208</v>
      </c>
      <c r="V269" s="68">
        <v>873275</v>
      </c>
      <c r="W269" s="68"/>
      <c r="X269" s="68">
        <v>1.8</v>
      </c>
      <c r="Y269" s="68" t="e">
        <v>#N/A</v>
      </c>
      <c r="Z269" s="68">
        <v>4.8722489999999929</v>
      </c>
      <c r="AA269" s="68">
        <v>2.651897999999993</v>
      </c>
      <c r="AB269" s="68">
        <v>3.037099999999993</v>
      </c>
      <c r="AC269" s="68">
        <v>2.130494999999998</v>
      </c>
      <c r="AD269" s="68">
        <v>1.955707142857144</v>
      </c>
      <c r="AE269" s="68">
        <v>1.90500000000001</v>
      </c>
      <c r="AF269" s="68" t="e">
        <f>IF($Z$3="yes", #N/A/$X269, #N/A)</f>
        <v>#N/A</v>
      </c>
      <c r="AG269" s="68">
        <f>IF($Z$3="yes", -0.088101789978997/$X269, -0.088101789978997)</f>
        <v>-4.8945438877220554E-2</v>
      </c>
      <c r="AH269" s="68">
        <f>IF($Z$3="yes", -0.0276349723889554/$X269, -0.0276349723889554)</f>
        <v>-1.5352762438308555E-2</v>
      </c>
      <c r="AI269" s="68">
        <f>IF($Z$3="yes", -0.0297841536614645/$X269, -0.0297841536614645)</f>
        <v>-1.6546752034146944E-2</v>
      </c>
      <c r="AJ269" s="68">
        <f>IF($Z$3="yes", -0.0457972180450967/$X269, -0.0457972180450967)</f>
        <v>-2.5442898913942608E-2</v>
      </c>
      <c r="AK269" s="68">
        <f>IF($Z$3="yes", -0.0140213186812917/$X269, -0.0140213186812917)</f>
        <v>-7.7896214896064995E-3</v>
      </c>
      <c r="AL269" s="68">
        <f>IF($Z$3="yes", -0.0021428571428315/$X269, -0.0021428571428315)</f>
        <v>-1.1904761904619444E-3</v>
      </c>
      <c r="AM269" s="68"/>
      <c r="AN269" s="68"/>
      <c r="AO269" s="68"/>
      <c r="AP269" s="68"/>
      <c r="AQ269" s="68"/>
      <c r="AR269" s="68"/>
      <c r="AS269" s="68">
        <f>IF($Z$3="yes", 2.220351/$X269, 2.220351)</f>
        <v>1.2335283333333333</v>
      </c>
      <c r="AT269" s="68">
        <f>IF($Z$3="yes", 1.83514899999999/$X269, 1.83514899999999)</f>
        <v>1.0195272222222167</v>
      </c>
      <c r="AU269" s="88">
        <f>IF($Z$3="yes", 2.74175399999999/$X269, 2.74175399999999)</f>
        <v>1.523196666666661</v>
      </c>
      <c r="AV269" s="88">
        <f>IF($Z$3="yes", 2.91654185714284/$X269, 2.91654185714284)</f>
        <v>1.620301031746022</v>
      </c>
      <c r="AW269" s="88">
        <f>IF($Z$3="yes", 2.96724899999998/$X269, 2.96724899999998)</f>
        <v>1.6484716666666555</v>
      </c>
      <c r="AX269" s="88">
        <f>IF($Z$3="yes", 0.385202/$X269, 0.385202)</f>
        <v>0.21400111111111109</v>
      </c>
      <c r="AY269" s="88">
        <f>IF($Z$3="yes", 0.906604999999995/$X269, 0.906604999999995)</f>
        <v>0.50366944444444162</v>
      </c>
      <c r="AZ269" s="88">
        <f>IF($Z$3="yes", 1.08139285714284/$X269, 1.08139285714284)</f>
        <v>0.6007738095238</v>
      </c>
      <c r="BA269" s="88">
        <f>IF($Z$3="yes", 1.13209999999998/$X269, 1.13209999999998)</f>
        <v>0.62894444444443331</v>
      </c>
      <c r="BB269" s="88">
        <f>IF($Z$3="yes", 0.521402999999995/$X269, 0.521402999999995)</f>
        <v>0.28966833333333053</v>
      </c>
      <c r="BC269" s="88">
        <f>IF($Z$3="yes", 0.696190857142848/$X269, 0.696190857142848)</f>
        <v>0.38677269841269335</v>
      </c>
      <c r="BD269" s="88">
        <f>IF($Z$3="yes", 0.746897999999983/$X269, 0.746897999999983)</f>
        <v>0.41494333333332384</v>
      </c>
      <c r="BE269" s="88">
        <f>IF($Z$3="yes", 0.174787857142853/$X269, 0.174787857142853)</f>
        <v>9.7104365079362778E-2</v>
      </c>
      <c r="BF269" s="88">
        <f>IF($Z$3="yes", 0.225494999999988/$X269, 0.225494999999988)</f>
        <v>0.12527499999999334</v>
      </c>
      <c r="BG269" s="88">
        <f>IF($Z$3="yes", 0.0507071428571344/$X269, 0.0507071428571344)</f>
        <v>2.8170634920630221E-2</v>
      </c>
      <c r="BH269" s="88">
        <f>IF($Z$3="yes", 1.06964446258502/$X269, 1.06964446258502)</f>
        <v>0.59424692365834453</v>
      </c>
      <c r="BI269" s="68"/>
      <c r="BJ269" s="68"/>
      <c r="BK269" s="68">
        <f>IF($BL$3="yes", MAX(0, (873275 - 809481.4) / 332633.219271677), 809481.4)</f>
        <v>809481.4</v>
      </c>
      <c r="BL269" s="68">
        <f>IF($BL$3="yes", MAX(0, (873275 - 644810.8) / 352334.548361582), 644810.8)</f>
        <v>644810.80000000005</v>
      </c>
      <c r="BM269" s="68">
        <f>IF($BL$3="yes", MAX(0, (873275 - 660069.1) / 733089.375193359), 660069.1)</f>
        <v>660069.1</v>
      </c>
      <c r="BN269" s="68">
        <f>IF($BL$3="yes", MAX(0, (873275 - 295022.08) / 552655.748051962), 295022.08)</f>
        <v>295022.08000000002</v>
      </c>
      <c r="BO269" s="68">
        <f>IF($BL$3="yes", MAX(0, (873275 - 175920.44) / 413869.264980291), 175920.44)</f>
        <v>175920.44</v>
      </c>
      <c r="BP269" s="68">
        <f>IF($BL$3="yes", MAX(0, (873275 - 102458.658031088) / 307716.399636147), 102458.658031088)</f>
        <v>102458.65803108799</v>
      </c>
      <c r="BQ269" s="68">
        <v>35.316824591812498</v>
      </c>
      <c r="BR269" s="68"/>
      <c r="BS269" s="68"/>
      <c r="BT269" s="68">
        <v>369254.35954218288</v>
      </c>
      <c r="BU269" s="68">
        <v>-6687.961289088882</v>
      </c>
      <c r="BV269" s="68">
        <f>IF($Z$3="yes", 0.255731469746693/$X269, 0.255731469746693)</f>
        <v>0.14207303874816277</v>
      </c>
      <c r="BW269" s="68">
        <f>IF($Z$3="yes", 0.333056709953851/$X269, 0.333056709953851)</f>
        <v>0.18503150552991723</v>
      </c>
      <c r="BX269" s="68">
        <f>$BW$97 - $BV$97</f>
        <v>-7.4154355446212628E-3</v>
      </c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81"/>
      <c r="CR269" s="81"/>
      <c r="CS269" s="68"/>
      <c r="CT269" s="68"/>
      <c r="CU269" s="68"/>
    </row>
    <row r="270" spans="1:99" ht="15.75" customHeight="1" thickBot="1" x14ac:dyDescent="0.3">
      <c r="A270" s="84" t="s">
        <v>205</v>
      </c>
      <c r="B270" s="67" t="s">
        <v>128</v>
      </c>
      <c r="C270" s="83" t="s">
        <v>620</v>
      </c>
      <c r="D270" s="67" t="s">
        <v>633</v>
      </c>
      <c r="E270" s="67">
        <v>1</v>
      </c>
      <c r="F270" s="85">
        <v>1.54</v>
      </c>
      <c r="G270" s="313">
        <v>44200</v>
      </c>
      <c r="H270" s="317">
        <v>2.96</v>
      </c>
      <c r="I270" s="85">
        <v>7.64</v>
      </c>
      <c r="J270" s="313">
        <v>44279</v>
      </c>
      <c r="K270" s="149">
        <f t="shared" si="10"/>
        <v>0.92207792207792205</v>
      </c>
      <c r="L270" s="149">
        <f t="shared" si="11"/>
        <v>3.9610389610389607</v>
      </c>
      <c r="M270" s="312">
        <v>44407</v>
      </c>
      <c r="N270" s="68"/>
      <c r="O270" s="291">
        <v>94285068</v>
      </c>
      <c r="P270" s="291">
        <v>57180000</v>
      </c>
      <c r="Q270" s="291">
        <v>79</v>
      </c>
      <c r="R270" s="68" t="s">
        <v>131</v>
      </c>
      <c r="S270" s="68" t="s">
        <v>348</v>
      </c>
      <c r="T270" s="68" t="s">
        <v>232</v>
      </c>
      <c r="U270" s="68">
        <v>1036</v>
      </c>
      <c r="V270" s="68">
        <v>15739655</v>
      </c>
      <c r="W270" s="68"/>
      <c r="X270" s="68">
        <v>1.68</v>
      </c>
      <c r="Y270" s="68" t="e">
        <v>#N/A</v>
      </c>
      <c r="Z270" s="68">
        <v>2.5011509999999979</v>
      </c>
      <c r="AA270" s="68">
        <v>1.6305999999999989</v>
      </c>
      <c r="AB270" s="68">
        <v>1.829599999999999</v>
      </c>
      <c r="AC270" s="68">
        <v>1.360500000000002</v>
      </c>
      <c r="AD270" s="68">
        <v>1.339285714285714</v>
      </c>
      <c r="AE270" s="68">
        <v>1.329999999999997</v>
      </c>
      <c r="AF270" s="68" t="e">
        <f>IF($Z$3="yes", #N/A/$X270, #N/A)</f>
        <v>#N/A</v>
      </c>
      <c r="AG270" s="68">
        <f>IF($Z$3="yes", -0.0360589324932491/$X270, -0.0360589324932491)</f>
        <v>-2.1463650293600658E-2</v>
      </c>
      <c r="AH270" s="68">
        <f>IF($Z$3="yes", -0.0206573829531813/$X270, -0.0206573829531813)</f>
        <v>-1.2296061281655536E-2</v>
      </c>
      <c r="AI270" s="68">
        <f>IF($Z$3="yes", -0.0254348139255702/$X270, -0.0254348139255702)</f>
        <v>-1.5139770193791787E-2</v>
      </c>
      <c r="AJ270" s="68">
        <f>IF($Z$3="yes", -0.00457894736842977/$X270, -0.00457894736842977)</f>
        <v>-2.7255639097796252E-3</v>
      </c>
      <c r="AK270" s="68">
        <f>IF($Z$3="yes", 0.000593406593413049/$X270, 0.000593406593413049)</f>
        <v>3.5321821036491015E-4</v>
      </c>
      <c r="AL270" s="68">
        <f>IF($Z$3="yes", 0.0204761904762764/$X270, 0.0204761904762764)</f>
        <v>1.2188208616831189E-2</v>
      </c>
      <c r="AM270" s="68"/>
      <c r="AN270" s="68"/>
      <c r="AO270" s="68"/>
      <c r="AP270" s="68"/>
      <c r="AQ270" s="68"/>
      <c r="AR270" s="68"/>
      <c r="AS270" s="68">
        <f>IF($Z$3="yes", 0.870550999999998/$X270, 0.870550999999998)</f>
        <v>0.51818511904761788</v>
      </c>
      <c r="AT270" s="68">
        <f>IF($Z$3="yes", 0.671550999999998/$X270, 0.671550999999998)</f>
        <v>0.39973273809523691</v>
      </c>
      <c r="AU270" s="88">
        <f>IF($Z$3="yes", 1.14065099999999/$X270, 1.14065099999999)</f>
        <v>0.6789589285714227</v>
      </c>
      <c r="AV270" s="88">
        <f>IF($Z$3="yes", 1.16186528571428/$X270, 1.16186528571428)</f>
        <v>0.69158647959183328</v>
      </c>
      <c r="AW270" s="88">
        <f>IF($Z$3="yes", 1.171151/$X270, 1.171151)</f>
        <v>0.69711369047619054</v>
      </c>
      <c r="AX270" s="88">
        <f>IF($Z$3="yes", 0.199/$X270, 0.199)</f>
        <v>0.11845238095238096</v>
      </c>
      <c r="AY270" s="88">
        <f>IF($Z$3="yes", 0.469099999999997/$X270, 0.469099999999997)</f>
        <v>0.27922619047618868</v>
      </c>
      <c r="AZ270" s="88">
        <f>IF($Z$3="yes", 0.490314285714285/$X270, 0.490314285714285)</f>
        <v>0.29185374149659821</v>
      </c>
      <c r="BA270" s="88">
        <f>IF($Z$3="yes", 0.499600000000002/$X270, 0.499600000000002)</f>
        <v>0.29738095238095358</v>
      </c>
      <c r="BB270" s="88">
        <f>IF($Z$3="yes", 0.270099999999997/$X270, 0.270099999999997)</f>
        <v>0.16077380952380774</v>
      </c>
      <c r="BC270" s="88">
        <f>IF($Z$3="yes", 0.291314285714285/$X270, 0.291314285714285)</f>
        <v>0.17340136054421729</v>
      </c>
      <c r="BD270" s="88">
        <f>IF($Z$3="yes", 0.300600000000002/$X270, 0.300600000000002)</f>
        <v>0.1789285714285726</v>
      </c>
      <c r="BE270" s="88">
        <f>IF($Z$3="yes", 0.021214285714288/$X270, 0.021214285714288)</f>
        <v>1.2627551020409524E-2</v>
      </c>
      <c r="BF270" s="88">
        <f>IF($Z$3="yes", 0.0305000000000048/$X270, 0.0305000000000048)</f>
        <v>1.8154761904764762E-2</v>
      </c>
      <c r="BG270" s="88">
        <f>IF($Z$3="yes", 0.00928571428571678/$X270, 0.00928571428571678)</f>
        <v>5.5272108843552265E-3</v>
      </c>
      <c r="BH270" s="88">
        <f>IF($Z$3="yes", 0.488861122448979/$X270, 0.488861122448979)</f>
        <v>0.29098876336248752</v>
      </c>
      <c r="BI270" s="68"/>
      <c r="BJ270" s="68"/>
      <c r="BK270" s="68">
        <f>IF($BL$3="yes", MAX(0, (15739655 - 4726242.6) / 5740784.68284866), 4726242.6)</f>
        <v>4726242.5999999996</v>
      </c>
      <c r="BL270" s="68">
        <f>IF($BL$3="yes", MAX(0, (15739655 - 2975497.5) / 4431112.56306441), 2975497.5)</f>
        <v>2975497.5</v>
      </c>
      <c r="BM270" s="68">
        <f>IF($BL$3="yes", MAX(0, (15739655 - 2074473.1) / 3266248.7977232), 2074473.1)</f>
        <v>2074473.1</v>
      </c>
      <c r="BN270" s="68">
        <f>IF($BL$3="yes", MAX(0, (15739655 - 4913076.66) / 13882439.939766), 4913076.66)</f>
        <v>4913076.66</v>
      </c>
      <c r="BO270" s="68">
        <f>IF($BL$3="yes", MAX(0, (15739655 - 2587474.21) / 10089201.2412765), 2587474.21)</f>
        <v>2587474.21</v>
      </c>
      <c r="BP270" s="68">
        <f>IF($BL$3="yes", MAX(0, (15739655 - 2133178.1796875) / 8961679.91337273), 2133178.1796875)</f>
        <v>2133178.1796875</v>
      </c>
      <c r="BQ270" s="68">
        <v>61.173721782334987</v>
      </c>
      <c r="BR270" s="68"/>
      <c r="BS270" s="68"/>
      <c r="BT270" s="68">
        <v>-61024158.305850863</v>
      </c>
      <c r="BU270" s="68">
        <v>3463555.7338262652</v>
      </c>
      <c r="BV270" s="68">
        <f>IF($Z$3="yes", 0.148087593254019/$X270, 0.148087593254019)</f>
        <v>8.8147376936916072E-2</v>
      </c>
      <c r="BW270" s="68">
        <f>IF($Z$3="yes", 0.315034924709333/$X270, 0.315034924709333)</f>
        <v>0.18752078851746012</v>
      </c>
      <c r="BX270" s="68">
        <f>$BW$95 - $BV$95</f>
        <v>5.6092752362237777E-2</v>
      </c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81"/>
      <c r="CR270" s="81"/>
      <c r="CS270" s="68"/>
      <c r="CT270" s="68"/>
      <c r="CU270" s="68"/>
    </row>
    <row r="271" spans="1:99" ht="15.75" customHeight="1" thickBot="1" x14ac:dyDescent="0.3">
      <c r="A271" s="84"/>
      <c r="B271" s="67" t="s">
        <v>128</v>
      </c>
      <c r="C271" s="83" t="s">
        <v>620</v>
      </c>
      <c r="D271" s="67" t="s">
        <v>634</v>
      </c>
      <c r="E271" s="67">
        <v>1</v>
      </c>
      <c r="F271" s="85">
        <v>1.84</v>
      </c>
      <c r="G271" s="313">
        <v>44200</v>
      </c>
      <c r="H271" s="317">
        <v>2.52</v>
      </c>
      <c r="I271" s="85">
        <v>7.69</v>
      </c>
      <c r="J271" s="313">
        <v>44246</v>
      </c>
      <c r="K271" s="136">
        <f t="shared" si="10"/>
        <v>0.36956521739130421</v>
      </c>
      <c r="L271" s="149">
        <f t="shared" si="11"/>
        <v>3.179347826086957</v>
      </c>
      <c r="M271" s="312">
        <v>44407</v>
      </c>
      <c r="N271" s="68"/>
      <c r="O271" s="291">
        <v>61939578</v>
      </c>
      <c r="P271" s="291">
        <v>60350000</v>
      </c>
      <c r="Q271" s="291">
        <v>46</v>
      </c>
      <c r="R271" s="68" t="s">
        <v>131</v>
      </c>
      <c r="S271" s="68" t="s">
        <v>148</v>
      </c>
      <c r="T271" s="67" t="s">
        <v>599</v>
      </c>
      <c r="U271" s="68">
        <v>232</v>
      </c>
      <c r="V271" s="68">
        <v>1993462</v>
      </c>
      <c r="W271" s="68"/>
      <c r="X271" s="68">
        <v>1.89</v>
      </c>
      <c r="Y271" s="68">
        <v>2.4068190000000009</v>
      </c>
      <c r="Z271" s="68">
        <v>2.5802499999999959</v>
      </c>
      <c r="AA271" s="68">
        <v>2.04</v>
      </c>
      <c r="AB271" s="68">
        <v>2.1783999999999999</v>
      </c>
      <c r="AC271" s="68">
        <v>1.869500000000003</v>
      </c>
      <c r="AD271" s="68">
        <v>1.907142857142857</v>
      </c>
      <c r="AE271" s="68">
        <v>2.0124999999999988</v>
      </c>
      <c r="AF271" s="68">
        <f>IF($Z$3="yes", 0.00344311902797564/$X271, 0.00344311902797564)</f>
        <v>1.8217560994580107E-3</v>
      </c>
      <c r="AG271" s="68">
        <f>IF($Z$3="yes", -0.0206647764776474/$X271, -0.0206647764776474)</f>
        <v>-1.0933744168067408E-2</v>
      </c>
      <c r="AH271" s="68">
        <f>IF($Z$3="yes", -0.0117695078031216/$X271, -0.0117695078031216)</f>
        <v>-6.2272528058844451E-3</v>
      </c>
      <c r="AI271" s="68">
        <f>IF($Z$3="yes", -0.0218785114045621/$X271, -0.0218785114045621)</f>
        <v>-1.1575931960085767E-2</v>
      </c>
      <c r="AJ271" s="68">
        <f>IF($Z$3="yes", 0.013436090225562/$X271, 0.013436090225562)</f>
        <v>7.109042447387302E-3</v>
      </c>
      <c r="AK271" s="68">
        <f>IF($Z$3="yes", 0.0177142857142881/$X271, 0.0177142857142881)</f>
        <v>9.3726379440677784E-3</v>
      </c>
      <c r="AL271" s="68">
        <f>IF($Z$3="yes", -0.0452380952380693/$X271, -0.0452380952380693)</f>
        <v>-2.3935500125962593E-2</v>
      </c>
      <c r="AM271" s="68">
        <f>IF($Z$3="yes", 0.173430999999995/$X271, 0.173430999999995)</f>
        <v>9.1762433862431228E-2</v>
      </c>
      <c r="AN271" s="68">
        <f>IF($Z$3="yes", 0.366819000000001/$X271, 0.366819000000001)</f>
        <v>0.19408412698412753</v>
      </c>
      <c r="AO271" s="68">
        <f>IF($Z$3="yes", 0.228419000000001/$X271, 0.228419000000001)</f>
        <v>0.1208566137566143</v>
      </c>
      <c r="AP271" s="68">
        <f>IF($Z$3="yes", 0.537318999999998/$X271, 0.537318999999998)</f>
        <v>0.28429576719576616</v>
      </c>
      <c r="AQ271" s="68">
        <f>IF($Z$3="yes", 0.499676142857144/$X271, 0.499676142857144)</f>
        <v>0.26437891156462645</v>
      </c>
      <c r="AR271" s="68">
        <f>IF($Z$3="yes", 0.394319000000002/$X271, 0.394319000000002)</f>
        <v>0.20863439153439259</v>
      </c>
      <c r="AS271" s="68">
        <f>IF($Z$3="yes", 0.540249999999996/$X271, 0.540249999999996)</f>
        <v>0.28584656084655874</v>
      </c>
      <c r="AT271" s="68">
        <f>IF($Z$3="yes", 0.401849999999996/$X271, 0.401849999999996)</f>
        <v>0.21261904761904551</v>
      </c>
      <c r="AU271" s="88">
        <f>IF($Z$3="yes", 0.710749999999993/$X271, 0.710749999999993)</f>
        <v>0.37605820105819737</v>
      </c>
      <c r="AV271" s="88">
        <f>IF($Z$3="yes", 0.673107142857139/$X271, 0.673107142857139)</f>
        <v>0.35614134542705772</v>
      </c>
      <c r="AW271" s="88">
        <f>IF($Z$3="yes", 0.567749999999997/$X271, 0.567749999999997)</f>
        <v>0.30039682539682383</v>
      </c>
      <c r="AX271" s="88">
        <f>IF($Z$3="yes", 0.1384/$X271, 0.1384)</f>
        <v>7.3227513227513225E-2</v>
      </c>
      <c r="AY271" s="88">
        <f>IF($Z$3="yes", 0.308899999999997/$X271, 0.308899999999997)</f>
        <v>0.16343915343915186</v>
      </c>
      <c r="AZ271" s="88">
        <f>IF($Z$3="yes", 0.271257142857143/$X271, 0.271257142857143)</f>
        <v>0.14352229780801215</v>
      </c>
      <c r="BA271" s="88">
        <f>IF($Z$3="yes", 0.165900000000001/$X271, 0.165900000000001)</f>
        <v>8.7777777777778301E-2</v>
      </c>
      <c r="BB271" s="88">
        <f>IF($Z$3="yes", 0.170499999999997/$X271, 0.170499999999997)</f>
        <v>9.0211640211638619E-2</v>
      </c>
      <c r="BC271" s="88">
        <f>IF($Z$3="yes", 0.132857142857142/$X271, 0.132857142857142)</f>
        <v>7.0294784580498426E-2</v>
      </c>
      <c r="BD271" s="88">
        <f>IF($Z$3="yes", 0.0275000000000007/$X271, 0.0275000000000007)</f>
        <v>1.4550264550264922E-2</v>
      </c>
      <c r="BE271" s="88">
        <f>IF($Z$3="yes", 0.0376428571428542/$X271, 0.0376428571428542)</f>
        <v>1.991685563113979E-2</v>
      </c>
      <c r="BF271" s="88">
        <f>IF($Z$3="yes", 0.142999999999996/$X271, 0.142999999999996)</f>
        <v>7.5661375661373542E-2</v>
      </c>
      <c r="BG271" s="88">
        <f>IF($Z$3="yes", 0.105357142857142/$X271, 0.105357142857142)</f>
        <v>5.5744520030233863E-2</v>
      </c>
      <c r="BH271" s="88">
        <f>IF($Z$3="yes", 0.474971306122447/$X271, 0.474971306122447)</f>
        <v>0.25130756937695609</v>
      </c>
      <c r="BI271" s="68"/>
      <c r="BJ271" s="68"/>
      <c r="BK271" s="68">
        <f>IF($BL$3="yes", MAX(0, (1993462 - 3708783.6) / 1428574.72142952), 3708783.6)</f>
        <v>3708783.6</v>
      </c>
      <c r="BL271" s="68">
        <f>IF($BL$3="yes", MAX(0, (1993462 - 8223657.6) / 9814375.01002709), 8223657.6)</f>
        <v>8223657.5999999996</v>
      </c>
      <c r="BM271" s="68">
        <f>IF($BL$3="yes", MAX(0, (1993462 - 5154300.6) / 7602135.15079262), 5154300.6)</f>
        <v>5154300.5999999996</v>
      </c>
      <c r="BN271" s="68">
        <f>IF($BL$3="yes", MAX(0, (1993462 - 3428476.5) / 5531629.3224496), 3428476.5)</f>
        <v>3428476.5</v>
      </c>
      <c r="BO271" s="68">
        <f>IF($BL$3="yes", MAX(0, (1993462 - 2333915.79) / 4210112.9057894), 2333915.79)</f>
        <v>2333915.79</v>
      </c>
      <c r="BP271" s="68">
        <f>IF($BL$3="yes", MAX(0, (1993462 - 2806525.6) / 9370153.72650385), 2806525.6)</f>
        <v>2806525.6</v>
      </c>
      <c r="BQ271" s="68">
        <v>47.877890485340423</v>
      </c>
      <c r="BR271" s="68"/>
      <c r="BS271" s="68"/>
      <c r="BT271" s="68">
        <v>-46268811.143733189</v>
      </c>
      <c r="BU271" s="68">
        <v>-1264745.5179452819</v>
      </c>
      <c r="BV271" s="68">
        <f>IF($Z$3="yes", 0.20034451926142/$X271, 0.20034451926142)</f>
        <v>0.10600239114360847</v>
      </c>
      <c r="BW271" s="68">
        <f>IF($Z$3="yes", 0.172077229386663/$X271, 0.172077229386663)</f>
        <v>9.1046153114636513E-2</v>
      </c>
      <c r="BX271" s="68">
        <f>$BW$101 - $BV$101</f>
        <v>-5.1323158111990591E-2</v>
      </c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81"/>
      <c r="CR271" s="81"/>
      <c r="CS271" s="68"/>
      <c r="CT271" s="68"/>
      <c r="CU271" s="68"/>
    </row>
    <row r="272" spans="1:99" ht="15.75" customHeight="1" thickBot="1" x14ac:dyDescent="0.3">
      <c r="A272" s="84" t="s">
        <v>194</v>
      </c>
      <c r="B272" s="67" t="s">
        <v>181</v>
      </c>
      <c r="C272" s="67" t="s">
        <v>525</v>
      </c>
      <c r="D272" s="67" t="s">
        <v>635</v>
      </c>
      <c r="E272" s="67">
        <v>1</v>
      </c>
      <c r="F272" s="85">
        <v>6.4999999999999997E-3</v>
      </c>
      <c r="G272" s="313">
        <v>44200</v>
      </c>
      <c r="H272" s="317">
        <v>5.7</v>
      </c>
      <c r="I272" s="317">
        <v>9.99</v>
      </c>
      <c r="J272" s="313">
        <v>44407</v>
      </c>
      <c r="K272" s="125">
        <f t="shared" si="10"/>
        <v>875.92307692307702</v>
      </c>
      <c r="L272" s="149">
        <f t="shared" si="11"/>
        <v>1535.9230769230771</v>
      </c>
      <c r="M272" s="312">
        <v>44407</v>
      </c>
      <c r="N272" s="68"/>
      <c r="O272" s="68">
        <v>1483888915</v>
      </c>
      <c r="P272" s="68"/>
      <c r="Q272" s="68">
        <v>207</v>
      </c>
      <c r="R272" s="68"/>
      <c r="S272" s="68" t="s">
        <v>493</v>
      </c>
      <c r="T272" s="68"/>
      <c r="U272" s="68">
        <v>164</v>
      </c>
      <c r="V272" s="68">
        <v>51263920</v>
      </c>
      <c r="W272" s="68"/>
      <c r="X272" s="68">
        <v>7.3000000000000001E-3</v>
      </c>
      <c r="Y272" s="68">
        <v>1.6226499999999752E-2</v>
      </c>
      <c r="Z272" s="68">
        <v>8.7869999999999997E-3</v>
      </c>
      <c r="AA272" s="68">
        <v>6.698E-3</v>
      </c>
      <c r="AB272" s="68">
        <v>7.162E-3</v>
      </c>
      <c r="AC272" s="68">
        <v>6.5749999999999992E-3</v>
      </c>
      <c r="AD272" s="68">
        <v>6.385714285714275E-3</v>
      </c>
      <c r="AE272" s="68">
        <v>6.3625000000000114E-3</v>
      </c>
      <c r="AF272" s="68">
        <f>IF($Z$3="yes", -0.000156874296857405/$X272, -0.000156874296857405)</f>
        <v>-2.1489629706493835E-2</v>
      </c>
      <c r="AG272" s="68">
        <f>IF($Z$3="yes", -0.000083033303330333/$X272, -0.000083033303330333)</f>
        <v>-1.1374425113744245E-2</v>
      </c>
      <c r="AH272" s="68">
        <f>IF($Z$3="yes", -0.000028797118847539/$X272, -0.000028797118847539)</f>
        <v>-3.9448108010327401E-3</v>
      </c>
      <c r="AI272" s="68">
        <f>IF($Z$3="yes", -0.0000584729891956786/$X272, -0.0000584729891956786)</f>
        <v>-8.0099985199559732E-3</v>
      </c>
      <c r="AJ272" s="68">
        <f>IF($Z$3="yes", -0.0000262406015037412/$X272, -0.0000262406015037412)</f>
        <v>-3.5946029457179728E-3</v>
      </c>
      <c r="AK272" s="68">
        <f>IF($Z$3="yes", 4.39560439569286E-06/$X272, 4.39560439569286E-06)</f>
        <v>6.021375884510767E-4</v>
      </c>
      <c r="AL272" s="68">
        <f>IF($Z$3="yes", 0.0000869047619048904/$X272, 0.0000869047619048904)</f>
        <v>1.1904761904779506E-2</v>
      </c>
      <c r="AM272" s="68">
        <f>IF($Z$3="yes", 0.00743949999999974/$X272, 0.00743949999999974)</f>
        <v>1.0191095890410602</v>
      </c>
      <c r="AN272" s="68">
        <f>IF($Z$3="yes", 0.00952849999999974/$X272, 0.00952849999999974)</f>
        <v>1.3052739726027041</v>
      </c>
      <c r="AO272" s="68">
        <f>IF($Z$3="yes", 0.00906449999999974/$X272, 0.00906449999999974)</f>
        <v>1.2417123287670875</v>
      </c>
      <c r="AP272" s="68">
        <f>IF($Z$3="yes", 0.00965149999999974/$X272, 0.00965149999999974)</f>
        <v>1.3221232876711972</v>
      </c>
      <c r="AQ272" s="68">
        <f>IF($Z$3="yes", 0.00984078571428547/$X272, 0.00984078571428547)</f>
        <v>1.348052837573352</v>
      </c>
      <c r="AR272" s="68">
        <f>IF($Z$3="yes", 0.00986399999999973/$X272, 0.00986399999999973)</f>
        <v>1.3512328767122919</v>
      </c>
      <c r="AS272" s="68">
        <f>IF($Z$3="yes", 0.00208899999999999/$X272, 0.00208899999999999)</f>
        <v>0.28616438356164248</v>
      </c>
      <c r="AT272" s="68">
        <f>IF($Z$3="yes", 0.00162499999999999/$X272, 0.00162499999999999)</f>
        <v>0.22260273972602601</v>
      </c>
      <c r="AU272" s="88">
        <f>IF($Z$3="yes", 0.002212/$X272, 0.002212)</f>
        <v>0.303013698630137</v>
      </c>
      <c r="AV272" s="88">
        <f>IF($Z$3="yes", 0.00240128571428572/$X272, 0.00240128571428572)</f>
        <v>0.3289432485322904</v>
      </c>
      <c r="AW272" s="88">
        <f>IF($Z$3="yes", 0.00242449999999998/$X272, 0.00242449999999998)</f>
        <v>0.33212328767123012</v>
      </c>
      <c r="AX272" s="88">
        <f>IF($Z$3="yes", 0.000464/$X272, 0.000464)</f>
        <v>6.3561643835616438E-2</v>
      </c>
      <c r="AY272" s="88">
        <f>IF($Z$3="yes", 0.000587/$X272, 0.000587)</f>
        <v>8.0410958904109583E-2</v>
      </c>
      <c r="AZ272" s="88">
        <f>IF($Z$3="yes", 0.000776285714285725/$X272, 0.000776285714285725)</f>
        <v>0.10634050880626369</v>
      </c>
      <c r="BA272" s="88">
        <f>IF($Z$3="yes", 0.000799499999999989/$X272, 0.000799499999999989)</f>
        <v>0.10952054794520398</v>
      </c>
      <c r="BB272" s="88">
        <f>IF($Z$3="yes", 0.000123/$X272, 0.000123)</f>
        <v>1.6849315068493152E-2</v>
      </c>
      <c r="BC272" s="88">
        <f>IF($Z$3="yes", 0.000312285714285725/$X272, 0.000312285714285725)</f>
        <v>4.2778864970647264E-2</v>
      </c>
      <c r="BD272" s="88">
        <f>IF($Z$3="yes", 0.000335499999999989/$X272, 0.000335499999999989)</f>
        <v>4.5958904109587535E-2</v>
      </c>
      <c r="BE272" s="88">
        <f>IF($Z$3="yes", 0.000189285714285724/$X272, 0.000189285714285724)</f>
        <v>2.5929549902153973E-2</v>
      </c>
      <c r="BF272" s="88">
        <f>IF($Z$3="yes", 0.000212499999999988/$X272, 0.000212499999999988)</f>
        <v>2.9109589041094248E-2</v>
      </c>
      <c r="BG272" s="88">
        <f>IF($Z$3="yes", 0.0000232142857142644/$X272, 0.0000232142857142644)</f>
        <v>3.1800391389403288E-3</v>
      </c>
      <c r="BH272" s="88">
        <f>IF($Z$3="yes", 0.00313063605442171/$X272, 0.00313063605442171)</f>
        <v>0.42885425403037125</v>
      </c>
      <c r="BI272" s="68"/>
      <c r="BJ272" s="68"/>
      <c r="BK272" s="68">
        <f>IF($BL$3="yes", MAX(0, (51263920 - 27910429.4) / 14213299.195857), 27910429.4)</f>
        <v>27910429.399999999</v>
      </c>
      <c r="BL272" s="68">
        <f>IF($BL$3="yes", MAX(0, (51263920 - 19181340.9) / 14030683.1476245), 19181340.9)</f>
        <v>19181340.899999999</v>
      </c>
      <c r="BM272" s="68">
        <f>IF($BL$3="yes", MAX(0, (51263920 - 29958793.2) / 29339927.9856489), 29958793.2)</f>
        <v>29958793.199999999</v>
      </c>
      <c r="BN272" s="68">
        <f>IF($BL$3="yes", MAX(0, (51263920 - 20540430.26) / 21591225.0658375), 20540430.26)</f>
        <v>20540430.260000002</v>
      </c>
      <c r="BO272" s="68">
        <f>IF($BL$3="yes", MAX(0, (51263920 - 21075098.2) / 23294328.0692381), 21075098.2)</f>
        <v>21075098.199999999</v>
      </c>
      <c r="BP272" s="68">
        <f>IF($BL$3="yes", MAX(0, (51263920 - 15439855.36) / 19711141.2715774), 15439855.36)</f>
        <v>15439855.359999999</v>
      </c>
      <c r="BQ272" s="68">
        <v>57.069906616362928</v>
      </c>
      <c r="BR272" s="68"/>
      <c r="BS272" s="68"/>
      <c r="BT272" s="68">
        <v>-572533506.68440855</v>
      </c>
      <c r="BU272" s="68">
        <v>9687712.8670027256</v>
      </c>
      <c r="BV272" s="68">
        <f>IF($Z$3="yes", 0.00121663849621165/$X272, 0.00121663849621165)</f>
        <v>0.16666280770022604</v>
      </c>
      <c r="BW272" s="68">
        <f>IF($Z$3="yes", 0.00129977028253821/$X272, 0.00129977028253821)</f>
        <v>0.17805072363537125</v>
      </c>
      <c r="BX272" s="68">
        <f>$BW$103 - $BV$103</f>
        <v>5.0432076297534184E-2</v>
      </c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81"/>
      <c r="CR272" s="81"/>
      <c r="CS272" s="68"/>
      <c r="CT272" s="68"/>
      <c r="CU272" s="68"/>
    </row>
    <row r="273" spans="1:99" ht="15.75" customHeight="1" thickBot="1" x14ac:dyDescent="0.3">
      <c r="A273" s="84" t="s">
        <v>194</v>
      </c>
      <c r="B273" s="67" t="s">
        <v>128</v>
      </c>
      <c r="C273" s="83" t="s">
        <v>636</v>
      </c>
      <c r="D273" s="67" t="s">
        <v>328</v>
      </c>
      <c r="E273" s="67">
        <v>1</v>
      </c>
      <c r="F273" s="85">
        <v>2.4</v>
      </c>
      <c r="G273" s="313">
        <v>44193</v>
      </c>
      <c r="H273" s="317">
        <v>3.08</v>
      </c>
      <c r="I273" s="85">
        <v>7.7</v>
      </c>
      <c r="J273" s="313">
        <v>44356</v>
      </c>
      <c r="K273" s="118">
        <f t="shared" si="10"/>
        <v>0.28333333333333344</v>
      </c>
      <c r="L273" s="149">
        <f t="shared" si="11"/>
        <v>2.2083333333333335</v>
      </c>
      <c r="M273" s="312">
        <v>44407</v>
      </c>
      <c r="N273" s="68"/>
      <c r="O273" s="291">
        <v>4823408</v>
      </c>
      <c r="P273" s="291">
        <v>2180000</v>
      </c>
      <c r="Q273" s="291">
        <v>163</v>
      </c>
      <c r="R273" s="68" t="s">
        <v>152</v>
      </c>
      <c r="S273" s="68" t="s">
        <v>148</v>
      </c>
      <c r="T273" s="67" t="s">
        <v>329</v>
      </c>
      <c r="U273" s="68">
        <v>24</v>
      </c>
      <c r="V273" s="68">
        <v>2638461</v>
      </c>
      <c r="W273" s="68"/>
      <c r="X273" s="68">
        <v>2.4700000000000002</v>
      </c>
      <c r="Y273" s="68">
        <v>2.0988765000000038</v>
      </c>
      <c r="Z273" s="68">
        <v>2.2307570000000001</v>
      </c>
      <c r="AA273" s="68">
        <v>2.2578999999999998</v>
      </c>
      <c r="AB273" s="68">
        <v>2.237816</v>
      </c>
      <c r="AC273" s="68">
        <v>2.35</v>
      </c>
      <c r="AD273" s="68">
        <v>2.3607142857142849</v>
      </c>
      <c r="AE273" s="68">
        <v>2.4024999999999981</v>
      </c>
      <c r="AF273" s="68">
        <f>IF($Z$3="yes", 0.0037529701492535/$X273, 0.0037529701492535)</f>
        <v>1.5194211130580971E-3</v>
      </c>
      <c r="AG273" s="68">
        <f>IF($Z$3="yes", 0.000941980798079828/$X273, 0.000941980798079828)</f>
        <v>3.8136874416187365E-4</v>
      </c>
      <c r="AH273" s="68">
        <f>IF($Z$3="yes", 0.00352821128451363/$X273, 0.00352821128451363)</f>
        <v>1.4284256212605789E-3</v>
      </c>
      <c r="AI273" s="68">
        <f>IF($Z$3="yes", -0.0000636734693879116/$X273, -0.0000636734693879116)</f>
        <v>-2.5778732545713192E-5</v>
      </c>
      <c r="AJ273" s="68">
        <f>IF($Z$3="yes", 0.00496240601503841/$X273, 0.00496240601503841)</f>
        <v>2.0090712611491534E-3</v>
      </c>
      <c r="AK273" s="68">
        <f>IF($Z$3="yes", 0.00872527472528499/$X273, 0.00872527472528499)</f>
        <v>3.532499888779348E-3</v>
      </c>
      <c r="AL273" s="68">
        <f>IF($Z$3="yes", -0.00119047619048187/$X273, -0.00119047619048187)</f>
        <v>-4.8197416618699188E-4</v>
      </c>
      <c r="AM273" s="68">
        <f>IF($Z$3="yes", 0.131880499999996/$X273, 0.131880499999996)</f>
        <v>5.3392914979755457E-2</v>
      </c>
      <c r="AN273" s="68">
        <f>IF($Z$3="yes", 0.159023499999996/$X273, 0.159023499999996)</f>
        <v>6.4381983805666385E-2</v>
      </c>
      <c r="AO273" s="68">
        <f>IF($Z$3="yes", 0.138939499999996/$X273, 0.138939499999996)</f>
        <v>5.6250809716597565E-2</v>
      </c>
      <c r="AP273" s="68">
        <f>IF($Z$3="yes", 0.251123499999995/$X273, 0.251123499999995)</f>
        <v>0.10166943319837854</v>
      </c>
      <c r="AQ273" s="68">
        <f>IF($Z$3="yes", 0.261837785714281/$X273, 0.261837785714281)</f>
        <v>0.10600720069404089</v>
      </c>
      <c r="AR273" s="68">
        <f>IF($Z$3="yes", 0.303623499999994/$X273, 0.303623499999994)</f>
        <v>0.12292449392712307</v>
      </c>
      <c r="AS273" s="68">
        <f>IF($Z$3="yes", 0.0271430000000001/$X273, 0.0271430000000001)</f>
        <v>1.0989068825910971E-2</v>
      </c>
      <c r="AT273" s="68">
        <f>IF($Z$3="yes", 0.00705900000000037/$X273, 0.00705900000000037)</f>
        <v>2.8578947368422549E-3</v>
      </c>
      <c r="AU273" s="88">
        <f>IF($Z$3="yes", 0.119242999999999/$X273, 0.119242999999999)</f>
        <v>4.8276518218623075E-2</v>
      </c>
      <c r="AV273" s="88">
        <f>IF($Z$3="yes", 0.129957285714285/$X273, 0.129957285714285)</f>
        <v>5.2614285714285419E-2</v>
      </c>
      <c r="AW273" s="88">
        <f>IF($Z$3="yes", 0.171742999999997/$X273, 0.171742999999997)</f>
        <v>6.9531578947367209E-2</v>
      </c>
      <c r="AX273" s="88">
        <f>IF($Z$3="yes", 0.0200839999999997/$X273, 0.0200839999999997)</f>
        <v>8.1311740890687035E-3</v>
      </c>
      <c r="AY273" s="88">
        <f>IF($Z$3="yes", 0.112183999999999/$X273, 0.112183999999999)</f>
        <v>4.5418623481780968E-2</v>
      </c>
      <c r="AZ273" s="88">
        <f>IF($Z$3="yes", 0.122898285714284/$X273, 0.122898285714284)</f>
        <v>4.9756390977442909E-2</v>
      </c>
      <c r="BA273" s="88">
        <f>IF($Z$3="yes", 0.164683999999997/$X273, 0.164683999999997)</f>
        <v>6.6673684210525094E-2</v>
      </c>
      <c r="BB273" s="88">
        <f>IF($Z$3="yes", 0.0920999999999994/$X273, 0.0920999999999994)</f>
        <v>3.7287449392712307E-2</v>
      </c>
      <c r="BC273" s="88">
        <f>IF($Z$3="yes", 0.102814285714285/$X273, 0.102814285714285)</f>
        <v>4.1625216888374492E-2</v>
      </c>
      <c r="BD273" s="88">
        <f>IF($Z$3="yes", 0.144599999999997/$X273, 0.144599999999997)</f>
        <v>5.8542510121456275E-2</v>
      </c>
      <c r="BE273" s="88">
        <f>IF($Z$3="yes", 0.0107142857142856/$X273, 0.0107142857142856)</f>
        <v>4.337767495662186E-3</v>
      </c>
      <c r="BF273" s="88">
        <f>IF($Z$3="yes", 0.0524999999999984/$X273, 0.0524999999999984)</f>
        <v>2.125506072874429E-2</v>
      </c>
      <c r="BG273" s="88">
        <f>IF($Z$3="yes", 0.0417857142857127/$X273, 0.0417857142857127)</f>
        <v>1.6917293233082064E-2</v>
      </c>
      <c r="BH273" s="88">
        <f>IF($Z$3="yes", 0.335154687074828/$X273, 0.335154687074828)</f>
        <v>0.13569015671045667</v>
      </c>
      <c r="BI273" s="68"/>
      <c r="BJ273" s="68"/>
      <c r="BK273" s="68">
        <f>IF($BL$3="yes", MAX(0, (2638461 - 660191.6) / 990321.204570234), 660191.6)</f>
        <v>660191.6</v>
      </c>
      <c r="BL273" s="68">
        <f>IF($BL$3="yes", MAX(0, (2638461 - 489679.2) / 726942.511601543), 489679.2)</f>
        <v>489679.2</v>
      </c>
      <c r="BM273" s="68">
        <f>IF($BL$3="yes", MAX(0, (2638461 - 429744.1) / 550803.608768942), 429744.1)</f>
        <v>429744.1</v>
      </c>
      <c r="BN273" s="68">
        <f>IF($BL$3="yes", MAX(0, (2638461 - 518116.76) / 594452.680979724), 518116.76)</f>
        <v>518116.76</v>
      </c>
      <c r="BO273" s="68">
        <f>IF($BL$3="yes", MAX(0, (2638461 - 455382.113333333) / 631046.811518709), 455382.113333333)</f>
        <v>455382.11333333299</v>
      </c>
      <c r="BP273" s="68">
        <f>IF($BL$3="yes", MAX(0, (2638461 - 352557.133333333) / 1134980.88453997), 352557.133333333)</f>
        <v>352557.13333333301</v>
      </c>
      <c r="BQ273" s="68">
        <v>58.344881331648843</v>
      </c>
      <c r="BR273" s="68"/>
      <c r="BS273" s="68"/>
      <c r="BT273" s="68">
        <v>-7334534.8760477677</v>
      </c>
      <c r="BU273" s="68">
        <v>-699769.99365095794</v>
      </c>
      <c r="BV273" s="68">
        <f>IF($Z$3="yes", 0.202995100949155/$X273, 0.202995100949155)</f>
        <v>8.2184251396419022E-2</v>
      </c>
      <c r="BW273" s="68">
        <f>IF($Z$3="yes", 0.225587880206265/$X273, 0.225587880206265)</f>
        <v>9.1331125589580966E-2</v>
      </c>
      <c r="BX273" s="68">
        <f>$BW$81 - $BV$81</f>
        <v>9.0912282591100041E-3</v>
      </c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81"/>
      <c r="CR273" s="81"/>
      <c r="CS273" s="68"/>
      <c r="CT273" s="68"/>
      <c r="CU273" s="68"/>
    </row>
    <row r="274" spans="1:99" ht="15.75" customHeight="1" thickBot="1" x14ac:dyDescent="0.3">
      <c r="A274" s="84" t="s">
        <v>194</v>
      </c>
      <c r="B274" s="67" t="s">
        <v>128</v>
      </c>
      <c r="C274" s="83" t="s">
        <v>636</v>
      </c>
      <c r="D274" s="67" t="s">
        <v>291</v>
      </c>
      <c r="E274" s="67">
        <v>1</v>
      </c>
      <c r="F274" s="85">
        <v>2.83</v>
      </c>
      <c r="G274" s="313">
        <v>44193</v>
      </c>
      <c r="H274" s="317">
        <v>3.46</v>
      </c>
      <c r="I274" s="85">
        <v>16.859000000000002</v>
      </c>
      <c r="J274" s="313">
        <v>44273</v>
      </c>
      <c r="K274" s="201">
        <f t="shared" si="10"/>
        <v>0.22261484098939932</v>
      </c>
      <c r="L274" s="149">
        <f t="shared" si="11"/>
        <v>4.957243816254417</v>
      </c>
      <c r="M274" s="312">
        <v>44407</v>
      </c>
      <c r="N274" s="68"/>
      <c r="O274" s="291">
        <v>9534014</v>
      </c>
      <c r="P274" s="291">
        <v>5810000</v>
      </c>
      <c r="Q274" s="291">
        <v>80</v>
      </c>
      <c r="R274" s="68" t="s">
        <v>152</v>
      </c>
      <c r="S274" s="68" t="s">
        <v>135</v>
      </c>
      <c r="T274" s="68" t="s">
        <v>292</v>
      </c>
      <c r="U274" s="68">
        <v>8</v>
      </c>
      <c r="V274" s="68">
        <v>443727</v>
      </c>
      <c r="W274" s="68"/>
      <c r="X274" s="68">
        <v>2.92</v>
      </c>
      <c r="Y274" s="68">
        <v>2.717919500000006</v>
      </c>
      <c r="Z274" s="68">
        <v>2.873362000000002</v>
      </c>
      <c r="AA274" s="68">
        <v>2.932824000000001</v>
      </c>
      <c r="AB274" s="68">
        <v>2.9158240000000002</v>
      </c>
      <c r="AC274" s="68">
        <v>2.9431150000000001</v>
      </c>
      <c r="AD274" s="68">
        <v>2.880164285714284</v>
      </c>
      <c r="AE274" s="68">
        <v>2.8562499999999971</v>
      </c>
      <c r="AF274" s="68">
        <f>IF($Z$3="yes", 0.0033065109877742/$X274, 0.0033065109877742)</f>
        <v>1.1323667766350001E-3</v>
      </c>
      <c r="AG274" s="68">
        <f>IF($Z$3="yes", 0.000602197419741813/$X274, 0.000602197419741813)</f>
        <v>2.0623199306226472E-4</v>
      </c>
      <c r="AH274" s="68">
        <f>IF($Z$3="yes", -0.001415068427371/$X274, -0.001415068427371)</f>
        <v>-4.8461247512705477E-4</v>
      </c>
      <c r="AI274" s="68">
        <f>IF($Z$3="yes", 0.00418368307322935/$X274, 0.00418368307322935)</f>
        <v>1.4327681757634761E-3</v>
      </c>
      <c r="AJ274" s="68">
        <f>IF($Z$3="yes", -0.0157009774436112/$X274, -0.0157009774436112)</f>
        <v>-5.3770470697298636E-3</v>
      </c>
      <c r="AK274" s="68">
        <f>IF($Z$3="yes", -0.00851890109890085/$X274, -0.00851890109890085)</f>
        <v>-2.9174318831852227E-3</v>
      </c>
      <c r="AL274" s="68">
        <f>IF($Z$3="yes", -0.000833333333295694/$X274, -0.000833333333295694)</f>
        <v>-2.8538812784099113E-4</v>
      </c>
      <c r="AM274" s="68">
        <f>IF($Z$3="yes", 0.155442499999995/$X274, 0.155442499999995)</f>
        <v>5.3233732876710613E-2</v>
      </c>
      <c r="AN274" s="68">
        <f>IF($Z$3="yes", 0.214904499999994/$X274, 0.214904499999994)</f>
        <v>7.3597431506847263E-2</v>
      </c>
      <c r="AO274" s="68">
        <f>IF($Z$3="yes", 0.197904499999994/$X274, 0.197904499999994)</f>
        <v>6.7775513698628082E-2</v>
      </c>
      <c r="AP274" s="68">
        <f>IF($Z$3="yes", 0.225195499999994/$X274, 0.225195499999994)</f>
        <v>7.7121746575340405E-2</v>
      </c>
      <c r="AQ274" s="68">
        <f>IF($Z$3="yes", 0.162244785714278/$X274, 0.162244785714278)</f>
        <v>5.5563282778862327E-2</v>
      </c>
      <c r="AR274" s="68">
        <f>IF($Z$3="yes", 0.138330499999991/$X274, 0.138330499999991)</f>
        <v>4.7373458904106512E-2</v>
      </c>
      <c r="AS274" s="68">
        <f>IF($Z$3="yes", 0.059461999999999/$X274, 0.059461999999999)</f>
        <v>2.0363698630136644E-2</v>
      </c>
      <c r="AT274" s="68">
        <f>IF($Z$3="yes", 0.0424619999999986/$X274, 0.0424619999999986)</f>
        <v>1.4541780821917328E-2</v>
      </c>
      <c r="AU274" s="88">
        <f>IF($Z$3="yes", 0.0697529999999986/$X274, 0.0697529999999986)</f>
        <v>2.3888013698629657E-2</v>
      </c>
      <c r="AV274" s="88">
        <f>IF($Z$3="yes", 0.00680228571428287/$X274, 0.00680228571428287)</f>
        <v>2.3295499021516678E-3</v>
      </c>
      <c r="AW274" s="88">
        <f>IF($Z$3="yes", 0.0171120000000049/$X274, 0.0171120000000049)</f>
        <v>5.8602739726044181E-3</v>
      </c>
      <c r="AX274" s="88">
        <f>IF($Z$3="yes", 0.0170000000000003/$X274, 0.0170000000000003)</f>
        <v>5.8219178082192808E-3</v>
      </c>
      <c r="AY274" s="88">
        <f>IF($Z$3="yes", 0.0272909999999999/$X274, 0.0272909999999999)</f>
        <v>9.3462328767122942E-3</v>
      </c>
      <c r="AZ274" s="88">
        <f>IF($Z$3="yes", 0.0356597142857157/$X274, 0.0356597142857157)</f>
        <v>1.2212230919765652E-2</v>
      </c>
      <c r="BA274" s="88">
        <f>IF($Z$3="yes", 0.0595740000000035/$X274, 0.0595740000000035)</f>
        <v>2.0402054794521746E-2</v>
      </c>
      <c r="BB274" s="88">
        <f>IF($Z$3="yes", 0.0102909999999996/$X274, 0.0102909999999996)</f>
        <v>3.5243150684930139E-3</v>
      </c>
      <c r="BC274" s="88">
        <f>IF($Z$3="yes", 0.0526597142857161/$X274, 0.0526597142857161)</f>
        <v>1.8034148727984967E-2</v>
      </c>
      <c r="BD274" s="88">
        <f>IF($Z$3="yes", 0.0765740000000039/$X274, 0.0765740000000039)</f>
        <v>2.6223972602741064E-2</v>
      </c>
      <c r="BE274" s="88">
        <f>IF($Z$3="yes", 0.0629507142857157/$X274, 0.0629507142857157)</f>
        <v>2.1558463796477981E-2</v>
      </c>
      <c r="BF274" s="88">
        <f>IF($Z$3="yes", 0.0868650000000035/$X274, 0.0868650000000035)</f>
        <v>2.9748287671234074E-2</v>
      </c>
      <c r="BG274" s="88">
        <f>IF($Z$3="yes", 0.0239142857142877/$X274, 0.0239142857142877)</f>
        <v>8.1898238747560616E-3</v>
      </c>
      <c r="BH274" s="88">
        <f>IF($Z$3="yes", 0.338498108843536/$X274, 0.338498108843536)</f>
        <v>0.11592400987792328</v>
      </c>
      <c r="BI274" s="68"/>
      <c r="BJ274" s="68"/>
      <c r="BK274" s="68">
        <f>IF($BL$3="yes", MAX(0, (443727 - 126282.6) / 159828.611529475), 126282.6)</f>
        <v>126282.6</v>
      </c>
      <c r="BL274" s="68">
        <f>IF($BL$3="yes", MAX(0, (443727 - 99986.9) / 121344.923198665), 99986.9)</f>
        <v>99986.9</v>
      </c>
      <c r="BM274" s="68">
        <f>IF($BL$3="yes", MAX(0, (443727 - 138535.25) / 112109.538435351), 138535.25)</f>
        <v>138535.25</v>
      </c>
      <c r="BN274" s="68">
        <f>IF($BL$3="yes", MAX(0, (443727 - 204738.44) / 256279.426252921), 204738.44)</f>
        <v>204738.44</v>
      </c>
      <c r="BO274" s="68">
        <f>IF($BL$3="yes", MAX(0, (443727 - 370811.01) / 1608869.84616506), 370811.01)</f>
        <v>370811.01</v>
      </c>
      <c r="BP274" s="68">
        <f>IF($BL$3="yes", MAX(0, (443727 - 804141.09) / 7825384.93305968), 804141.09)</f>
        <v>804141.09</v>
      </c>
      <c r="BQ274" s="68">
        <v>50.755449546881138</v>
      </c>
      <c r="BR274" s="68"/>
      <c r="BS274" s="68"/>
      <c r="BT274" s="68">
        <v>-7635447.8158250013</v>
      </c>
      <c r="BU274" s="68">
        <v>-8092.7481022942811</v>
      </c>
      <c r="BV274" s="68">
        <f>IF($Z$3="yes", 0.15607205468401/$X274, 0.15607205468401)</f>
        <v>5.3449333795893839E-2</v>
      </c>
      <c r="BW274" s="68">
        <f>IF($Z$3="yes", 0.205304052310104/$X274, 0.205304052310104)</f>
        <v>7.030960695551508E-2</v>
      </c>
      <c r="BX274" s="68">
        <f>$BW$88 - $BV$88</f>
        <v>0.10242087797109248</v>
      </c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81"/>
      <c r="CR274" s="81"/>
      <c r="CS274" s="68"/>
      <c r="CT274" s="68"/>
      <c r="CU274" s="68"/>
    </row>
    <row r="275" spans="1:99" ht="15.75" customHeight="1" thickBot="1" x14ac:dyDescent="0.3">
      <c r="A275" s="84" t="s">
        <v>205</v>
      </c>
      <c r="B275" s="67" t="s">
        <v>128</v>
      </c>
      <c r="C275" s="83" t="s">
        <v>636</v>
      </c>
      <c r="D275" s="67" t="s">
        <v>156</v>
      </c>
      <c r="E275" s="67">
        <v>1</v>
      </c>
      <c r="F275" s="85">
        <v>0.83</v>
      </c>
      <c r="G275" s="313">
        <v>44193</v>
      </c>
      <c r="H275" s="317">
        <v>0.76780000000000004</v>
      </c>
      <c r="I275" s="85">
        <v>2.34</v>
      </c>
      <c r="J275" s="313">
        <v>44249</v>
      </c>
      <c r="K275" s="105">
        <f t="shared" si="10"/>
        <v>-7.4939759036144471E-2</v>
      </c>
      <c r="L275" s="149">
        <f t="shared" si="11"/>
        <v>1.8192771084337349</v>
      </c>
      <c r="M275" s="312">
        <v>44407</v>
      </c>
      <c r="N275" s="68"/>
      <c r="O275" s="291">
        <v>51362500</v>
      </c>
      <c r="P275" s="291">
        <v>15060000</v>
      </c>
      <c r="Q275" s="291">
        <v>56</v>
      </c>
      <c r="R275" s="68" t="s">
        <v>131</v>
      </c>
      <c r="S275" s="68" t="s">
        <v>157</v>
      </c>
      <c r="T275" s="68" t="s">
        <v>158</v>
      </c>
      <c r="U275" s="68">
        <v>100</v>
      </c>
      <c r="V275" s="68">
        <v>206387181</v>
      </c>
      <c r="W275" s="68"/>
      <c r="X275" s="68">
        <v>1.06</v>
      </c>
      <c r="Y275" s="68">
        <v>1.43834</v>
      </c>
      <c r="Z275" s="68">
        <v>1.0546759999999999</v>
      </c>
      <c r="AA275" s="68">
        <v>0.86812599999999951</v>
      </c>
      <c r="AB275" s="68">
        <v>0.96443999999999952</v>
      </c>
      <c r="AC275" s="68">
        <v>0.74099500000000029</v>
      </c>
      <c r="AD275" s="68">
        <v>0.73704999999999976</v>
      </c>
      <c r="AE275" s="68">
        <v>0.75191249999999998</v>
      </c>
      <c r="AF275" s="68">
        <f>IF($Z$3="yes", -0.00662975399384996/$X275, -0.00662975399384996)</f>
        <v>-6.2544848998584528E-3</v>
      </c>
      <c r="AG275" s="68">
        <f>IF($Z$3="yes", -0.00797590399039908/$X275, -0.00797590399039908)</f>
        <v>-7.5244377267915845E-3</v>
      </c>
      <c r="AH275" s="68">
        <f>IF($Z$3="yes", -0.011864657863145/$X275, -0.011864657863145)</f>
        <v>-1.119307345579717E-2</v>
      </c>
      <c r="AI275" s="68">
        <f>IF($Z$3="yes", -0.0151771812725087/$X275, -0.0151771812725087)</f>
        <v>-1.4318095540102545E-2</v>
      </c>
      <c r="AJ275" s="68">
        <f>IF($Z$3="yes", 0.00190007518796922/$X275, 0.00190007518796922)</f>
        <v>1.7925237622351132E-3</v>
      </c>
      <c r="AK275" s="68">
        <f>IF($Z$3="yes", 0.00811758241758417/$X275, 0.00811758241758417)</f>
        <v>7.6580966203624243E-3</v>
      </c>
      <c r="AL275" s="68">
        <f>IF($Z$3="yes", 0.0253059523809335/$X275, 0.0253059523809335)</f>
        <v>2.3873539982012734E-2</v>
      </c>
      <c r="AM275" s="68">
        <f>IF($Z$3="yes", 0.383663999999999/$X275, 0.383663999999999)</f>
        <v>0.3619471698113198</v>
      </c>
      <c r="AN275" s="68">
        <f>IF($Z$3="yes", 0.570214/$X275, 0.570214)</f>
        <v>0.53793773584905658</v>
      </c>
      <c r="AO275" s="68">
        <f>IF($Z$3="yes", 0.4739/$X275, 0.4739)</f>
        <v>0.44707547169811318</v>
      </c>
      <c r="AP275" s="68">
        <f>IF($Z$3="yes", 0.697344999999999/$X275, 0.697344999999999)</f>
        <v>0.65787264150943303</v>
      </c>
      <c r="AQ275" s="68">
        <f>IF($Z$3="yes", 0.701289999999999/$X275, 0.701289999999999)</f>
        <v>0.66159433962264047</v>
      </c>
      <c r="AR275" s="68">
        <f>IF($Z$3="yes", 0.686427499999999/$X275, 0.686427499999999)</f>
        <v>0.64757311320754618</v>
      </c>
      <c r="AS275" s="68">
        <f>IF($Z$3="yes", 0.18655/$X275, 0.18655)</f>
        <v>0.17599056603773583</v>
      </c>
      <c r="AT275" s="68">
        <f>IF($Z$3="yes", 0.0902360000000004/$X275, 0.0902360000000004)</f>
        <v>8.5128301886792823E-2</v>
      </c>
      <c r="AU275" s="88">
        <f>IF($Z$3="yes", 0.313680999999999/$X275, 0.313680999999999)</f>
        <v>0.29592547169811223</v>
      </c>
      <c r="AV275" s="88">
        <f>IF($Z$3="yes", 0.317626/$X275, 0.317626)</f>
        <v>0.29964716981132078</v>
      </c>
      <c r="AW275" s="88">
        <f>IF($Z$3="yes", 0.302763499999999/$X275, 0.302763499999999)</f>
        <v>0.28562594339622549</v>
      </c>
      <c r="AX275" s="88">
        <f>IF($Z$3="yes", 0.096314/$X275, 0.096314)</f>
        <v>9.0862264150943395E-2</v>
      </c>
      <c r="AY275" s="88">
        <f>IF($Z$3="yes", 0.223444999999999/$X275, 0.223444999999999)</f>
        <v>0.2107971698113198</v>
      </c>
      <c r="AZ275" s="88">
        <f>IF($Z$3="yes", 0.227389999999999/$X275, 0.227389999999999)</f>
        <v>0.21451886792452735</v>
      </c>
      <c r="BA275" s="88">
        <f>IF($Z$3="yes", 0.212527499999999/$X275, 0.212527499999999)</f>
        <v>0.20049764150943303</v>
      </c>
      <c r="BB275" s="88">
        <f>IF($Z$3="yes", 0.127130999999999/$X275, 0.127130999999999)</f>
        <v>0.1199349056603764</v>
      </c>
      <c r="BC275" s="88">
        <f>IF($Z$3="yes", 0.131075999999999/$X275, 0.131075999999999)</f>
        <v>0.12365660377358395</v>
      </c>
      <c r="BD275" s="88">
        <f>IF($Z$3="yes", 0.116213499999999/$X275, 0.116213499999999)</f>
        <v>0.10963537735848962</v>
      </c>
      <c r="BE275" s="88">
        <f>IF($Z$3="yes", 0.00394500000000053/$X275, 0.00394500000000053)</f>
        <v>3.7216981132080465E-3</v>
      </c>
      <c r="BF275" s="88">
        <f>IF($Z$3="yes", 0.0109174999999996/$X275, 0.0109174999999996)</f>
        <v>1.0299528301886414E-2</v>
      </c>
      <c r="BG275" s="88">
        <f>IF($Z$3="yes", 0.0148625000000002/$X275, 0.0148625000000002)</f>
        <v>1.4021226415094528E-2</v>
      </c>
      <c r="BH275" s="88">
        <f>IF($Z$3="yes", 0.305838261904761/$X275, 0.305838261904761)</f>
        <v>0.28852666217430278</v>
      </c>
      <c r="BI275" s="68"/>
      <c r="BJ275" s="68"/>
      <c r="BK275" s="68">
        <f>IF($BL$3="yes", MAX(0, (206387181 - 41881117) / 82254729.8028827), 41881117)</f>
        <v>41881117</v>
      </c>
      <c r="BL275" s="68">
        <f>IF($BL$3="yes", MAX(0, (206387181 - 21110425.6) / 61760412.9118169), 21110425.6)</f>
        <v>21110425.600000001</v>
      </c>
      <c r="BM275" s="68">
        <f>IF($BL$3="yes", MAX(0, (206387181 - 10771784.95) / 44878407.7279176), 10771784.95)</f>
        <v>10771784.949999999</v>
      </c>
      <c r="BN275" s="68">
        <f>IF($BL$3="yes", MAX(0, (206387181 - 5299012.82) / 28770292.3351819), 5299012.82)</f>
        <v>5299012.82</v>
      </c>
      <c r="BO275" s="68">
        <f>IF($BL$3="yes", MAX(0, (206387181 - 3010324.7) / 20537426.6081942), 3010324.7)</f>
        <v>3010324.7</v>
      </c>
      <c r="BP275" s="68">
        <f>IF($BL$3="yes", MAX(0, (206387181 - 1673817.135) / 14589585.945271), 1673817.135)</f>
        <v>1673817.135</v>
      </c>
      <c r="BQ275" s="68">
        <v>76.118362301253796</v>
      </c>
      <c r="BR275" s="68"/>
      <c r="BS275" s="68"/>
      <c r="BT275" s="68">
        <v>-136865598.77807969</v>
      </c>
      <c r="BU275" s="68">
        <v>-38960351.778336011</v>
      </c>
      <c r="BV275" s="68">
        <f>IF($Z$3="yes", 0.15142319775622/$X275, 0.15142319775622)</f>
        <v>0.14285207335492453</v>
      </c>
      <c r="BW275" s="68">
        <f>IF($Z$3="yes", 0.103888648227252/$X275, 0.103888648227252)</f>
        <v>9.8008158704954704E-2</v>
      </c>
      <c r="BX275" s="68">
        <f>$BW$83 - $BV$83</f>
        <v>3.7618238480549862E-2</v>
      </c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81"/>
      <c r="CR275" s="81"/>
      <c r="CS275" s="68"/>
      <c r="CT275" s="68"/>
      <c r="CU275" s="68"/>
    </row>
    <row r="276" spans="1:99" ht="15.75" customHeight="1" thickBot="1" x14ac:dyDescent="0.3">
      <c r="A276" s="84" t="s">
        <v>194</v>
      </c>
      <c r="B276" s="67" t="s">
        <v>128</v>
      </c>
      <c r="C276" s="83" t="s">
        <v>636</v>
      </c>
      <c r="D276" s="67" t="s">
        <v>608</v>
      </c>
      <c r="E276" s="67">
        <v>1</v>
      </c>
      <c r="F276" s="85">
        <v>0.91</v>
      </c>
      <c r="G276" s="313">
        <v>44193</v>
      </c>
      <c r="H276" s="317">
        <v>1.36</v>
      </c>
      <c r="I276" s="85">
        <v>2.09</v>
      </c>
      <c r="J276" s="313">
        <v>44239</v>
      </c>
      <c r="K276" s="160">
        <f t="shared" si="10"/>
        <v>0.49450549450549453</v>
      </c>
      <c r="L276" s="254">
        <f t="shared" si="11"/>
        <v>1.2967032967032965</v>
      </c>
      <c r="M276" s="312">
        <v>44407</v>
      </c>
      <c r="N276" s="68"/>
      <c r="O276" s="291">
        <v>18004904</v>
      </c>
      <c r="P276" s="291">
        <v>16000000</v>
      </c>
      <c r="Q276" s="291">
        <v>46</v>
      </c>
      <c r="R276" s="68" t="s">
        <v>131</v>
      </c>
      <c r="S276" s="68" t="s">
        <v>479</v>
      </c>
      <c r="T276" s="68" t="s">
        <v>313</v>
      </c>
      <c r="U276" s="68">
        <v>52</v>
      </c>
      <c r="V276" s="68">
        <v>821394</v>
      </c>
      <c r="W276" s="68"/>
      <c r="X276" s="68">
        <v>0.93</v>
      </c>
      <c r="Y276" s="68">
        <v>0.74000400000000099</v>
      </c>
      <c r="Z276" s="68">
        <v>0.69184000000000023</v>
      </c>
      <c r="AA276" s="68">
        <v>0.82775199999999982</v>
      </c>
      <c r="AB276" s="68">
        <v>0.7939480000000001</v>
      </c>
      <c r="AC276" s="68">
        <v>0.93866999999999923</v>
      </c>
      <c r="AD276" s="68">
        <v>0.9447357142857139</v>
      </c>
      <c r="AE276" s="68">
        <v>0.91957500000000014</v>
      </c>
      <c r="AF276" s="68">
        <f>IF($Z$3="yes", -0.000200982824570576/$X276, -0.000200982824570576)</f>
        <v>-2.1611056405438281E-4</v>
      </c>
      <c r="AG276" s="68">
        <f>IF($Z$3="yes", 0.00527578637863784/$X276, 0.00527578637863784)</f>
        <v>5.6728885791804727E-3</v>
      </c>
      <c r="AH276" s="68">
        <f>IF($Z$3="yes", 0.00688463865546213/$X276, 0.00688463865546213)</f>
        <v>7.4028372639377742E-3</v>
      </c>
      <c r="AI276" s="68">
        <f>IF($Z$3="yes", 0.00565954381752692/$X276, 0.00565954381752692)</f>
        <v>6.0855309865880851E-3</v>
      </c>
      <c r="AJ276" s="68">
        <f>IF($Z$3="yes", -0.000264511278195388/$X276, -0.000264511278195388)</f>
        <v>-2.8442072924235267E-4</v>
      </c>
      <c r="AK276" s="68">
        <f>IF($Z$3="yes", -0.00651626373626232/$X276, -0.00651626373626232)</f>
        <v>-7.0067352002820635E-3</v>
      </c>
      <c r="AL276" s="68">
        <f>IF($Z$3="yes", 0.00229285714286507/$X276, 0.00229285714286507)</f>
        <v>2.4654377880269571E-3</v>
      </c>
      <c r="AM276" s="68">
        <f>IF($Z$3="yes", 0.0481640000000007/$X276, 0.0481640000000007)</f>
        <v>5.1789247311828705E-2</v>
      </c>
      <c r="AN276" s="68">
        <f>IF($Z$3="yes", 0.0877479999999988/$X276, 0.0877479999999988)</f>
        <v>9.4352688172041718E-2</v>
      </c>
      <c r="AO276" s="68">
        <f>IF($Z$3="yes", 0.0539439999999991/$X276, 0.0539439999999991)</f>
        <v>5.8004301075267842E-2</v>
      </c>
      <c r="AP276" s="68">
        <f>IF($Z$3="yes", 0.198665999999998/$X276, 0.198665999999998)</f>
        <v>0.21361935483870753</v>
      </c>
      <c r="AQ276" s="68">
        <f>IF($Z$3="yes", 0.204731714285712/$X276, 0.204731714285712)</f>
        <v>0.22014162826420644</v>
      </c>
      <c r="AR276" s="68">
        <f>IF($Z$3="yes", 0.179570999999999/$X276, 0.179570999999999)</f>
        <v>0.19308709677419247</v>
      </c>
      <c r="AS276" s="68">
        <f>IF($Z$3="yes", 0.135911999999999/$X276, 0.135911999999999)</f>
        <v>0.14614193548386989</v>
      </c>
      <c r="AT276" s="68">
        <f>IF($Z$3="yes", 0.102107999999999/$X276, 0.102107999999999)</f>
        <v>0.10979354838709569</v>
      </c>
      <c r="AU276" s="88">
        <f>IF($Z$3="yes", 0.246829999999999/$X276, 0.246829999999999)</f>
        <v>0.26540860215053652</v>
      </c>
      <c r="AV276" s="88">
        <f>IF($Z$3="yes", 0.252895714285713/$X276, 0.252895714285713)</f>
        <v>0.27193087557603546</v>
      </c>
      <c r="AW276" s="88">
        <f>IF($Z$3="yes", 0.227734999999999/$X276, 0.227734999999999)</f>
        <v>0.24487634408602041</v>
      </c>
      <c r="AX276" s="88">
        <f>IF($Z$3="yes", 0.0338039999999997/$X276, 0.0338039999999997)</f>
        <v>3.634838709677387E-2</v>
      </c>
      <c r="AY276" s="88">
        <f>IF($Z$3="yes", 0.144721999999999/$X276, 0.144721999999999)</f>
        <v>0.15561505376343976</v>
      </c>
      <c r="AZ276" s="88">
        <f>IF($Z$3="yes", 0.150787714285713/$X276, 0.150787714285713)</f>
        <v>0.1621373271889387</v>
      </c>
      <c r="BA276" s="88">
        <f>IF($Z$3="yes", 0.125627/$X276, 0.125627)</f>
        <v>0.1350827956989247</v>
      </c>
      <c r="BB276" s="88">
        <f>IF($Z$3="yes", 0.110917999999999/$X276, 0.110917999999999)</f>
        <v>0.11926666666666559</v>
      </c>
      <c r="BC276" s="88">
        <f>IF($Z$3="yes", 0.116983714285714/$X276, 0.116983714285714)</f>
        <v>0.12578894009216557</v>
      </c>
      <c r="BD276" s="88">
        <f>IF($Z$3="yes", 0.0918230000000003/$X276, 0.0918230000000003)</f>
        <v>9.8734408602150853E-2</v>
      </c>
      <c r="BE276" s="88">
        <f>IF($Z$3="yes", 0.00606571428571467/$X276, 0.00606571428571467)</f>
        <v>6.5222734254996445E-3</v>
      </c>
      <c r="BF276" s="88">
        <f>IF($Z$3="yes", 0.019094999999999/$X276, 0.019094999999999)</f>
        <v>2.0532258064515054E-2</v>
      </c>
      <c r="BG276" s="88">
        <f>IF($Z$3="yes", 0.0251607142857137/$X276, 0.0251607142857137)</f>
        <v>2.705453149001473E-2</v>
      </c>
      <c r="BH276" s="88">
        <f>IF($Z$3="yes", 0.204366238095237/$X276, 0.204366238095237)</f>
        <v>0.21974864311315803</v>
      </c>
      <c r="BI276" s="68"/>
      <c r="BJ276" s="68"/>
      <c r="BK276" s="68">
        <f>IF($BL$3="yes", MAX(0, (821394 - 1512824.2) / 1587604.32126111), 1512824.2)</f>
        <v>1512824.2</v>
      </c>
      <c r="BL276" s="68">
        <f>IF($BL$3="yes", MAX(0, (821394 - 1006223) / 1236073.66744793), 1006223)</f>
        <v>1006223</v>
      </c>
      <c r="BM276" s="68">
        <f>IF($BL$3="yes", MAX(0, (821394 - 1339199.45) / 1553846.77722665), 1339199.45)</f>
        <v>1339199.45</v>
      </c>
      <c r="BN276" s="68">
        <f>IF($BL$3="yes", MAX(0, (821394 - 1376422.6) / 1708018.91395903), 1376422.6)</f>
        <v>1376422.6</v>
      </c>
      <c r="BO276" s="68">
        <f>IF($BL$3="yes", MAX(0, (821394 - 1630780.97) / 6724863.49631105), 1630780.97)</f>
        <v>1630780.97</v>
      </c>
      <c r="BP276" s="68">
        <f>IF($BL$3="yes", MAX(0, (821394 - 1021815.28) / 4808652.65508867), 1021815.28)</f>
        <v>1021815.28</v>
      </c>
      <c r="BQ276" s="68">
        <v>52.319165521856533</v>
      </c>
      <c r="BR276" s="68"/>
      <c r="BS276" s="68"/>
      <c r="BT276" s="68">
        <v>-47135900.780167662</v>
      </c>
      <c r="BU276" s="68">
        <v>213359.1807092503</v>
      </c>
      <c r="BV276" s="68">
        <f>IF($Z$3="yes", 0.100236666030629/$X276, 0.100236666030629)</f>
        <v>0.10778136132325698</v>
      </c>
      <c r="BW276" s="68">
        <f>IF($Z$3="yes", 0.115469307199093/$X276, 0.115469307199093)</f>
        <v>0.12416054537536882</v>
      </c>
      <c r="BX276" s="68">
        <f>$BW$86 - $BV$86</f>
        <v>-0.13269344007236361</v>
      </c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81"/>
      <c r="CR276" s="81"/>
      <c r="CS276" s="68"/>
      <c r="CT276" s="68"/>
      <c r="CU276" s="68"/>
    </row>
    <row r="277" spans="1:99" ht="15.75" customHeight="1" thickBot="1" x14ac:dyDescent="0.3">
      <c r="A277" s="84" t="s">
        <v>205</v>
      </c>
      <c r="B277" s="67" t="s">
        <v>128</v>
      </c>
      <c r="C277" s="83" t="s">
        <v>636</v>
      </c>
      <c r="D277" s="67" t="s">
        <v>574</v>
      </c>
      <c r="E277" s="67">
        <v>1</v>
      </c>
      <c r="F277" s="85">
        <v>1.53</v>
      </c>
      <c r="G277" s="313">
        <v>44193</v>
      </c>
      <c r="H277" s="317">
        <v>0.87</v>
      </c>
      <c r="I277" s="85">
        <v>2.37</v>
      </c>
      <c r="J277" s="313">
        <v>44237</v>
      </c>
      <c r="K277" s="125">
        <f t="shared" si="10"/>
        <v>-0.43137254901960786</v>
      </c>
      <c r="L277" s="255">
        <f t="shared" si="11"/>
        <v>0.5490196078431373</v>
      </c>
      <c r="M277" s="312">
        <v>44407</v>
      </c>
      <c r="N277" s="68"/>
      <c r="O277" s="291">
        <v>42874097</v>
      </c>
      <c r="P277" s="291">
        <v>26430000</v>
      </c>
      <c r="Q277" s="291">
        <v>44</v>
      </c>
      <c r="R277" s="68" t="s">
        <v>152</v>
      </c>
      <c r="S277" s="68" t="s">
        <v>148</v>
      </c>
      <c r="T277" s="67" t="s">
        <v>575</v>
      </c>
      <c r="U277" s="68">
        <v>184</v>
      </c>
      <c r="V277" s="68">
        <v>1954120</v>
      </c>
      <c r="W277" s="68"/>
      <c r="X277" s="68">
        <v>1.46</v>
      </c>
      <c r="Y277" s="68">
        <v>1.688739499999997</v>
      </c>
      <c r="Z277" s="68">
        <v>2.1935220000000011</v>
      </c>
      <c r="AA277" s="68">
        <v>2.2378000000000018</v>
      </c>
      <c r="AB277" s="68">
        <v>2.444002000000002</v>
      </c>
      <c r="AC277" s="68">
        <v>1.5725</v>
      </c>
      <c r="AD277" s="68">
        <v>1.4921428571428561</v>
      </c>
      <c r="AE277" s="68">
        <v>1.49875</v>
      </c>
      <c r="AF277" s="68">
        <f>IF($Z$3="yes", 0.00844318300457532/$X277, 0.00844318300457532)</f>
        <v>5.7830020579283008E-3</v>
      </c>
      <c r="AG277" s="68">
        <f>IF($Z$3="yes", -0.000741810981098041/$X277, -0.000741810981098041)</f>
        <v>-5.0808971308084999E-4</v>
      </c>
      <c r="AH277" s="68">
        <f>IF($Z$3="yes", -0.033954861944778/$X277, -0.033954861944778)</f>
        <v>-2.3256754756697261E-2</v>
      </c>
      <c r="AI277" s="68">
        <f>IF($Z$3="yes", -0.0178575510204082/$X277, -0.0178575510204082)</f>
        <v>-1.2231199329046712E-2</v>
      </c>
      <c r="AJ277" s="68">
        <f>IF($Z$3="yes", -0.0188947368421046/$X277, -0.0188947368421046)</f>
        <v>-1.2941600576783972E-2</v>
      </c>
      <c r="AK277" s="68">
        <f>IF($Z$3="yes", 0.00125274725274175/$X277, 0.00125274725274175)</f>
        <v>8.5804606352174668E-4</v>
      </c>
      <c r="AL277" s="68">
        <f>IF($Z$3="yes", 0.00345238095238068/$X277, 0.00345238095238068)</f>
        <v>2.3646444879319726E-3</v>
      </c>
      <c r="AM277" s="68">
        <f>IF($Z$3="yes", 0.504782500000003/$X277, 0.504782500000003)</f>
        <v>0.34574143835616644</v>
      </c>
      <c r="AN277" s="68">
        <f>IF($Z$3="yes", 0.549060500000005/$X277, 0.549060500000005)</f>
        <v>0.37606883561644178</v>
      </c>
      <c r="AO277" s="68">
        <f>IF($Z$3="yes", 0.755262500000004/$X277, 0.755262500000004)</f>
        <v>0.51730308219178356</v>
      </c>
      <c r="AP277" s="68">
        <f>IF($Z$3="yes", 0.116239499999996/$X277, 0.116239499999996)</f>
        <v>7.9616095890408217E-2</v>
      </c>
      <c r="AQ277" s="68">
        <f>IF($Z$3="yes", 0.196596642857141/$X277, 0.196596642857141)</f>
        <v>0.13465523483365824</v>
      </c>
      <c r="AR277" s="68">
        <f>IF($Z$3="yes", 0.189989499999996/$X277, 0.189989499999996)</f>
        <v>0.13012979452054521</v>
      </c>
      <c r="AS277" s="68">
        <f>IF($Z$3="yes", 0.0442780000000015/$X277, 0.0442780000000015)</f>
        <v>3.0327397260274998E-2</v>
      </c>
      <c r="AT277" s="68">
        <f>IF($Z$3="yes", 0.25048/$X277, 0.25048)</f>
        <v>0.17156164383561642</v>
      </c>
      <c r="AU277" s="88">
        <f>IF($Z$3="yes", 0.621022/$X277, 0.621022)</f>
        <v>0.42535753424657535</v>
      </c>
      <c r="AV277" s="88">
        <f>IF($Z$3="yes", 0.701379142857145/$X277, 0.701379142857145)</f>
        <v>0.48039667318982532</v>
      </c>
      <c r="AW277" s="88">
        <f>IF($Z$3="yes", 0.694772/$X277, 0.694772)</f>
        <v>0.47587123287671229</v>
      </c>
      <c r="AX277" s="88">
        <f>IF($Z$3="yes", 0.206201999999999/$X277, 0.206201999999999)</f>
        <v>0.14123424657534178</v>
      </c>
      <c r="AY277" s="88">
        <f>IF($Z$3="yes", 0.871502000000001/$X277, 0.871502000000001)</f>
        <v>0.59691917808219253</v>
      </c>
      <c r="AZ277" s="88">
        <f>IF($Z$3="yes", 0.951859142857145/$X277, 0.951859142857145)</f>
        <v>0.65195831702544182</v>
      </c>
      <c r="BA277" s="88">
        <f>IF($Z$3="yes", 0.945252000000001/$X277, 0.945252000000001)</f>
        <v>0.64743287671232941</v>
      </c>
      <c r="BB277" s="88">
        <f>IF($Z$3="yes", 0.665300000000002/$X277, 0.665300000000002)</f>
        <v>0.45568493150685069</v>
      </c>
      <c r="BC277" s="88">
        <f>IF($Z$3="yes", 0.745657142857146/$X277, 0.745657142857146)</f>
        <v>0.51072407045010004</v>
      </c>
      <c r="BD277" s="88">
        <f>IF($Z$3="yes", 0.739050000000002/$X277, 0.739050000000002)</f>
        <v>0.50619863013698763</v>
      </c>
      <c r="BE277" s="88">
        <f>IF($Z$3="yes", 0.0803571428571441/$X277, 0.0803571428571441)</f>
        <v>5.5039138943249383E-2</v>
      </c>
      <c r="BF277" s="88">
        <f>IF($Z$3="yes", 0.0737499999999999/$X277, 0.0737499999999999)</f>
        <v>5.0513698630136918E-2</v>
      </c>
      <c r="BG277" s="88">
        <f>IF($Z$3="yes", 0.00660714285714414/$X277, 0.00660714285714414)</f>
        <v>4.5254403131124252E-3</v>
      </c>
      <c r="BH277" s="88">
        <f>IF($Z$3="yes", 0.564116605442177/$X277, 0.564116605442177)</f>
        <v>0.38638123660423085</v>
      </c>
      <c r="BI277" s="68"/>
      <c r="BJ277" s="68"/>
      <c r="BK277" s="68">
        <f>IF($BL$3="yes", MAX(0, (1954120 - 2056403.2) / 718427.145395105), 2056403.2)</f>
        <v>2056403.2</v>
      </c>
      <c r="BL277" s="68">
        <f>IF($BL$3="yes", MAX(0, (1954120 - 1810415) / 738874.483072463), 1810415)</f>
        <v>1810415</v>
      </c>
      <c r="BM277" s="68">
        <f>IF($BL$3="yes", MAX(0, (1954120 - 2890049.9) / 1790212.39012151), 2890049.9)</f>
        <v>2890049.9</v>
      </c>
      <c r="BN277" s="68">
        <f>IF($BL$3="yes", MAX(0, (1954120 - 4262091.94) / 9865089.84343348), 4262091.94)</f>
        <v>4262091.9400000004</v>
      </c>
      <c r="BO277" s="68">
        <f>IF($BL$3="yes", MAX(0, (1954120 - 2401628.63) / 7232107.61898249), 2401628.63)</f>
        <v>2401628.63</v>
      </c>
      <c r="BP277" s="68">
        <f>IF($BL$3="yes", MAX(0, (1954120 - 1309568.175) / 5245150.48703833), 1309568.175)</f>
        <v>1309568.175</v>
      </c>
      <c r="BQ277" s="68">
        <v>38.057557621904976</v>
      </c>
      <c r="BR277" s="68"/>
      <c r="BS277" s="68"/>
      <c r="BT277" s="68">
        <v>26036656.27472505</v>
      </c>
      <c r="BU277" s="68">
        <v>-717706.96934885904</v>
      </c>
      <c r="BV277" s="68">
        <f>IF($Z$3="yes", 0.199698039287922/$X277, 0.199698039287922)</f>
        <v>0.13677947896433015</v>
      </c>
      <c r="BW277" s="68">
        <f>IF($Z$3="yes", 0.263248760127015/$X277, 0.263248760127015)</f>
        <v>0.18030736995001026</v>
      </c>
      <c r="BX277" s="68">
        <f>$BW$89 - $BV$89</f>
        <v>0.10824245109165269</v>
      </c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81"/>
      <c r="CR277" s="81"/>
      <c r="CS277" s="68"/>
      <c r="CT277" s="68"/>
      <c r="CU277" s="68"/>
    </row>
    <row r="278" spans="1:99" ht="15.75" customHeight="1" thickBot="1" x14ac:dyDescent="0.3">
      <c r="A278" s="84" t="s">
        <v>194</v>
      </c>
      <c r="B278" s="67" t="s">
        <v>128</v>
      </c>
      <c r="C278" s="83" t="s">
        <v>636</v>
      </c>
      <c r="D278" s="67" t="s">
        <v>159</v>
      </c>
      <c r="E278" s="67">
        <v>1</v>
      </c>
      <c r="F278" s="85">
        <v>0.86199999999999999</v>
      </c>
      <c r="G278" s="313">
        <v>44193</v>
      </c>
      <c r="H278" s="317">
        <v>0.71740000000000004</v>
      </c>
      <c r="I278" s="85">
        <v>2.2000000000000002</v>
      </c>
      <c r="J278" s="313">
        <v>44225</v>
      </c>
      <c r="K278" s="100">
        <f t="shared" si="10"/>
        <v>-0.16774941995359627</v>
      </c>
      <c r="L278" s="253">
        <f t="shared" si="11"/>
        <v>1.552204176334107</v>
      </c>
      <c r="M278" s="312">
        <v>44407</v>
      </c>
      <c r="N278" s="68"/>
      <c r="O278" s="291">
        <v>53417200</v>
      </c>
      <c r="P278" s="291">
        <v>29770000</v>
      </c>
      <c r="Q278" s="291">
        <v>32</v>
      </c>
      <c r="R278" s="68" t="s">
        <v>152</v>
      </c>
      <c r="S278" s="68" t="s">
        <v>148</v>
      </c>
      <c r="T278" s="67" t="s">
        <v>160</v>
      </c>
      <c r="U278" s="68">
        <v>12</v>
      </c>
      <c r="V278" s="68">
        <v>1825050</v>
      </c>
      <c r="W278" s="68"/>
      <c r="X278" s="68">
        <v>0.88260000000000005</v>
      </c>
      <c r="Y278" s="68">
        <v>1.0337455</v>
      </c>
      <c r="Z278" s="68">
        <v>0.95477299999999987</v>
      </c>
      <c r="AA278" s="68">
        <v>0.8765860000000002</v>
      </c>
      <c r="AB278" s="68">
        <v>0.87534000000000012</v>
      </c>
      <c r="AC278" s="68">
        <v>0.88561500000000015</v>
      </c>
      <c r="AD278" s="68">
        <v>0.88751428571428614</v>
      </c>
      <c r="AE278" s="68">
        <v>0.87200000000000044</v>
      </c>
      <c r="AF278" s="68">
        <f>IF($Z$3="yes", -0.000704563039075995/$X278, -0.000704563039075995)</f>
        <v>-7.9828125886697817E-4</v>
      </c>
      <c r="AG278" s="68">
        <f>IF($Z$3="yes", -0.00313935493549351/$X278, -0.00313935493549351)</f>
        <v>-3.5569396504571832E-3</v>
      </c>
      <c r="AH278" s="68">
        <f>IF($Z$3="yes", 0.000449282112845056/$X278, 0.000449282112845056)</f>
        <v>5.0904386227629272E-4</v>
      </c>
      <c r="AI278" s="68">
        <f>IF($Z$3="yes", 0.000330871548619437/$X278, 0.000330871548619437)</f>
        <v>3.7488278792141056E-4</v>
      </c>
      <c r="AJ278" s="68">
        <f>IF($Z$3="yes", -0.00105060150375891/$X278, -0.00105060150375891)</f>
        <v>-1.1903484067062203E-3</v>
      </c>
      <c r="AK278" s="68">
        <f>IF($Z$3="yes", -0.00419868131868327/$X278, -0.00419868131868327)</f>
        <v>-4.7571734859316447E-3</v>
      </c>
      <c r="AL278" s="68">
        <f>IF($Z$3="yes", -0.00640714285714179/$X278, -0.00640714285714179)</f>
        <v>-7.2593959405640035E-3</v>
      </c>
      <c r="AM278" s="68">
        <f>IF($Z$3="yes", 0.0789725000000003/$X278, 0.0789725000000003)</f>
        <v>8.9477113075006012E-2</v>
      </c>
      <c r="AN278" s="68">
        <f>IF($Z$3="yes", 0.1571595/$X278, 0.1571595)</f>
        <v>0.17806424201223658</v>
      </c>
      <c r="AO278" s="68">
        <f>IF($Z$3="yes", 0.1584055/$X278, 0.1584055)</f>
        <v>0.17947598005891682</v>
      </c>
      <c r="AP278" s="68">
        <f>IF($Z$3="yes", 0.1481305/$X278, 0.1481305)</f>
        <v>0.16783423974620437</v>
      </c>
      <c r="AQ278" s="68">
        <f>IF($Z$3="yes", 0.146231214285714/$X278, 0.146231214285714)</f>
        <v>0.1656823184746363</v>
      </c>
      <c r="AR278" s="68">
        <f>IF($Z$3="yes", 0.161745499999999/$X278, 0.161745499999999)</f>
        <v>0.18326025379560273</v>
      </c>
      <c r="AS278" s="68">
        <f>IF($Z$3="yes", 0.0781869999999996/$X278, 0.0781869999999996)</f>
        <v>8.8587128937230461E-2</v>
      </c>
      <c r="AT278" s="68">
        <f>IF($Z$3="yes", 0.0794329999999997/$X278, 0.0794329999999997)</f>
        <v>8.9998866983910825E-2</v>
      </c>
      <c r="AU278" s="88">
        <f>IF($Z$3="yes", 0.0691579999999997/$X278, 0.0691579999999997)</f>
        <v>7.8357126671198388E-2</v>
      </c>
      <c r="AV278" s="88">
        <f>IF($Z$3="yes", 0.0672587142857137/$X278, 0.0672587142857137)</f>
        <v>7.6205205399630299E-2</v>
      </c>
      <c r="AW278" s="88">
        <f>IF($Z$3="yes", 0.0827729999999994/$X278, 0.0827729999999994)</f>
        <v>9.3783140720597555E-2</v>
      </c>
      <c r="AX278" s="88">
        <f>IF($Z$3="yes", 0.00124600000000008/$X278, 0.00124600000000008)</f>
        <v>1.4117380466803534E-3</v>
      </c>
      <c r="AY278" s="88">
        <f>IF($Z$3="yes", 0.010275/$X278, 0.010275)</f>
        <v>1.1641740312712439E-2</v>
      </c>
      <c r="AZ278" s="88">
        <f>IF($Z$3="yes", 0.012174285714286/$X278, 0.012174285714286)</f>
        <v>1.3793661584280534E-2</v>
      </c>
      <c r="BA278" s="88">
        <f>IF($Z$3="yes", 0.00333999999999967/$X278, 0.00333999999999967)</f>
        <v>3.7842737366866868E-3</v>
      </c>
      <c r="BB278" s="88">
        <f>IF($Z$3="yes", 0.00902899999999995/$X278, 0.00902899999999995)</f>
        <v>1.023000226603212E-2</v>
      </c>
      <c r="BC278" s="88">
        <f>IF($Z$3="yes", 0.0109282857142859/$X278, 0.0109282857142859)</f>
        <v>1.2381923537600158E-2</v>
      </c>
      <c r="BD278" s="88">
        <f>IF($Z$3="yes", 0.00458599999999975/$X278, 0.00458599999999975)</f>
        <v>5.19601178336704E-3</v>
      </c>
      <c r="BE278" s="88">
        <f>IF($Z$3="yes", 0.00189928571428599/$X278, 0.00189928571428599)</f>
        <v>2.1519212715680829E-3</v>
      </c>
      <c r="BF278" s="88">
        <f>IF($Z$3="yes", 0.0136149999999997/$X278, 0.0136149999999997)</f>
        <v>1.542601404939916E-2</v>
      </c>
      <c r="BG278" s="88">
        <f>IF($Z$3="yes", 0.0155142857142857/$X278, 0.0155142857142857)</f>
        <v>1.7577935320967256E-2</v>
      </c>
      <c r="BH278" s="88">
        <f>IF($Z$3="yes", 0.134925897959183/$X278, 0.134925897959183)</f>
        <v>0.15287321318738159</v>
      </c>
      <c r="BI278" s="68"/>
      <c r="BJ278" s="68"/>
      <c r="BK278" s="68">
        <f>IF($BL$3="yes", MAX(0, (1825050 - 734076.2) / 559789.312928498), 734076.2)</f>
        <v>734076.2</v>
      </c>
      <c r="BL278" s="68">
        <f>IF($BL$3="yes", MAX(0, (1825050 - 801586.7) / 508095.944882863), 801586.7)</f>
        <v>801586.7</v>
      </c>
      <c r="BM278" s="68">
        <f>IF($BL$3="yes", MAX(0, (1825050 - 819249.15) / 487504.374091687), 819249.15)</f>
        <v>819249.15</v>
      </c>
      <c r="BN278" s="68">
        <f>IF($BL$3="yes", MAX(0, (1825050 - 851312.8) / 1581082.73264202), 851312.8)</f>
        <v>851312.8</v>
      </c>
      <c r="BO278" s="68">
        <f>IF($BL$3="yes", MAX(0, (1825050 - 624448.56) / 1227372.19659517), 624448.56)</f>
        <v>624448.56000000006</v>
      </c>
      <c r="BP278" s="68">
        <f>IF($BL$3="yes", MAX(0, (1825050 - 831809.26) / 1981203.80885867), 831809.26)</f>
        <v>831809.26</v>
      </c>
      <c r="BQ278" s="68">
        <v>49.901200242865713</v>
      </c>
      <c r="BR278" s="68"/>
      <c r="BS278" s="68"/>
      <c r="BT278" s="68">
        <v>-19631928.69487809</v>
      </c>
      <c r="BU278" s="68">
        <v>99137.372621674091</v>
      </c>
      <c r="BV278" s="68">
        <f>IF($Z$3="yes", 0.0592740610824484/$X278, 0.0592740610824484)</f>
        <v>6.7158464856614988E-2</v>
      </c>
      <c r="BW278" s="68">
        <f>IF($Z$3="yes", 0.0689075587942028/$X278, 0.0689075587942028)</f>
        <v>7.8073372755724887E-2</v>
      </c>
      <c r="BX278" s="68">
        <f>$BW$84 - $BV$84</f>
        <v>5.2598683010296604E-2</v>
      </c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81"/>
      <c r="CR278" s="81"/>
      <c r="CS278" s="68"/>
      <c r="CT278" s="68"/>
      <c r="CU278" s="68"/>
    </row>
    <row r="279" spans="1:99" ht="15.75" customHeight="1" thickBot="1" x14ac:dyDescent="0.3">
      <c r="A279" s="84" t="s">
        <v>194</v>
      </c>
      <c r="B279" s="67" t="s">
        <v>128</v>
      </c>
      <c r="C279" s="83" t="s">
        <v>636</v>
      </c>
      <c r="D279" s="67" t="s">
        <v>637</v>
      </c>
      <c r="E279" s="67">
        <v>1</v>
      </c>
      <c r="F279" s="85">
        <v>1.48</v>
      </c>
      <c r="G279" s="313">
        <v>44193</v>
      </c>
      <c r="H279" s="317">
        <v>3.29</v>
      </c>
      <c r="I279" s="85">
        <v>4.67</v>
      </c>
      <c r="J279" s="313">
        <v>44361</v>
      </c>
      <c r="K279" s="149">
        <f t="shared" si="10"/>
        <v>1.2229729729729728</v>
      </c>
      <c r="L279" s="149">
        <f t="shared" si="11"/>
        <v>2.1554054054054053</v>
      </c>
      <c r="M279" s="312">
        <v>44407</v>
      </c>
      <c r="N279" s="68"/>
      <c r="O279" s="291">
        <v>37976522</v>
      </c>
      <c r="P279" s="291">
        <v>37620000</v>
      </c>
      <c r="Q279" s="291">
        <v>168</v>
      </c>
      <c r="R279" s="68" t="s">
        <v>131</v>
      </c>
      <c r="S279" s="68" t="s">
        <v>220</v>
      </c>
      <c r="T279" s="68" t="s">
        <v>546</v>
      </c>
      <c r="U279" s="68">
        <v>112</v>
      </c>
      <c r="V279" s="68">
        <v>1373828</v>
      </c>
      <c r="W279" s="68"/>
      <c r="X279" s="68">
        <v>1.4</v>
      </c>
      <c r="Y279" s="68">
        <v>1.081811000000007</v>
      </c>
      <c r="Z279" s="68">
        <v>1.000294</v>
      </c>
      <c r="AA279" s="68">
        <v>1.0145599999999999</v>
      </c>
      <c r="AB279" s="68">
        <v>0.89480800000000016</v>
      </c>
      <c r="AC279" s="68">
        <v>1.323500000000001</v>
      </c>
      <c r="AD279" s="68">
        <v>1.38</v>
      </c>
      <c r="AE279" s="68">
        <v>1.4387500000000011</v>
      </c>
      <c r="AF279" s="68">
        <f>IF($Z$3="yes", 0.0000394314857865397/$X279, 0.0000394314857865397)</f>
        <v>2.8165346990385503E-5</v>
      </c>
      <c r="AG279" s="68">
        <f>IF($Z$3="yes", 0.00128685388538848/$X279, 0.00128685388538848)</f>
        <v>9.1918134670605713E-4</v>
      </c>
      <c r="AH279" s="68">
        <f>IF($Z$3="yes", 0.0180073181272508/$X279, 0.0180073181272508)</f>
        <v>1.286237009089343E-2</v>
      </c>
      <c r="AI279" s="68">
        <f>IF($Z$3="yes", 0.0111287683073228/$X279, 0.0111287683073228)</f>
        <v>7.9491202195162858E-3</v>
      </c>
      <c r="AJ279" s="68">
        <f>IF($Z$3="yes", 0.0176917293233077/$X279, 0.0176917293233077)</f>
        <v>1.2636949516648358E-2</v>
      </c>
      <c r="AK279" s="68">
        <f>IF($Z$3="yes", 0.0105934065934091/$X279, 0.0105934065934091)</f>
        <v>7.5667189952922142E-3</v>
      </c>
      <c r="AL279" s="68">
        <f>IF($Z$3="yes", -0.00535714285714255/$X279, -0.00535714285714255)</f>
        <v>-3.8265306122446789E-3</v>
      </c>
      <c r="AM279" s="68">
        <f>IF($Z$3="yes", 0.0815170000000067/$X279, 0.0815170000000067)</f>
        <v>5.8226428571433356E-2</v>
      </c>
      <c r="AN279" s="68">
        <f>IF($Z$3="yes", 0.067251000000007/$X279, 0.067251000000007)</f>
        <v>4.8036428571433573E-2</v>
      </c>
      <c r="AO279" s="68">
        <f>IF($Z$3="yes", 0.187003000000007/$X279, 0.187003000000007)</f>
        <v>0.13357357142857643</v>
      </c>
      <c r="AP279" s="68">
        <f>IF($Z$3="yes", 0.241688999999994/$X279, 0.241688999999994)</f>
        <v>0.17263499999999571</v>
      </c>
      <c r="AQ279" s="68">
        <f>IF($Z$3="yes", 0.298188999999992/$X279, 0.298188999999992)</f>
        <v>0.21299214285713713</v>
      </c>
      <c r="AR279" s="68">
        <f>IF($Z$3="yes", 0.356938999999994/$X279, 0.356938999999994)</f>
        <v>0.25495642857142431</v>
      </c>
      <c r="AS279" s="68">
        <f>IF($Z$3="yes", 0.0142659999999996/$X279, 0.0142659999999996)</f>
        <v>1.0189999999999715E-2</v>
      </c>
      <c r="AT279" s="68">
        <f>IF($Z$3="yes", 0.105486/$X279, 0.105486)</f>
        <v>7.5347142857142863E-2</v>
      </c>
      <c r="AU279" s="88">
        <f>IF($Z$3="yes", 0.323206/$X279, 0.323206)</f>
        <v>0.23086142857142858</v>
      </c>
      <c r="AV279" s="88">
        <f>IF($Z$3="yes", 0.379705999999999/$X279, 0.379705999999999)</f>
        <v>0.2712185714285707</v>
      </c>
      <c r="AW279" s="88">
        <f>IF($Z$3="yes", 0.438456/$X279, 0.438456)</f>
        <v>0.31318285714285715</v>
      </c>
      <c r="AX279" s="88">
        <f>IF($Z$3="yes", 0.119751999999999/$X279, 0.119751999999999)</f>
        <v>8.5537142857142145E-2</v>
      </c>
      <c r="AY279" s="88">
        <f>IF($Z$3="yes", 0.428692000000001/$X279, 0.428692000000001)</f>
        <v>0.30620857142857216</v>
      </c>
      <c r="AZ279" s="88">
        <f>IF($Z$3="yes", 0.485191999999999/$X279, 0.485191999999999)</f>
        <v>0.34656571428571359</v>
      </c>
      <c r="BA279" s="88">
        <f>IF($Z$3="yes", 0.543942000000001/$X279, 0.543942000000001)</f>
        <v>0.38853000000000076</v>
      </c>
      <c r="BB279" s="88">
        <f>IF($Z$3="yes", 0.308940000000001/$X279, 0.308940000000001)</f>
        <v>0.2206714285714293</v>
      </c>
      <c r="BC279" s="88">
        <f>IF($Z$3="yes", 0.365439999999999/$X279, 0.365439999999999)</f>
        <v>0.26102857142857072</v>
      </c>
      <c r="BD279" s="88">
        <f>IF($Z$3="yes", 0.424190000000001/$X279, 0.424190000000001)</f>
        <v>0.3029928571428579</v>
      </c>
      <c r="BE279" s="88">
        <f>IF($Z$3="yes", 0.0564999999999986/$X279, 0.0564999999999986)</f>
        <v>4.0357142857141863E-2</v>
      </c>
      <c r="BF279" s="88">
        <f>IF($Z$3="yes", 0.11525/$X279, 0.11525)</f>
        <v>8.2321428571428587E-2</v>
      </c>
      <c r="BG279" s="88">
        <f>IF($Z$3="yes", 0.0587500000000014/$X279, 0.0587500000000014)</f>
        <v>4.1964285714286717E-2</v>
      </c>
      <c r="BH279" s="88">
        <f>IF($Z$3="yes", 0.384301809523809/$X279, 0.384301809523809)</f>
        <v>0.27450129251700645</v>
      </c>
      <c r="BI279" s="68"/>
      <c r="BJ279" s="68"/>
      <c r="BK279" s="68">
        <f>IF($BL$3="yes", MAX(0, (1373828 - 1361560.2) / 487539.743783581), 1361560.2)</f>
        <v>1361560.2</v>
      </c>
      <c r="BL279" s="68">
        <f>IF($BL$3="yes", MAX(0, (1373828 - 1786675.6) / 736767.567523734), 1786675.6)</f>
        <v>1786675.6</v>
      </c>
      <c r="BM279" s="68">
        <f>IF($BL$3="yes", MAX(0, (1373828 - 1582485.45) / 1080269.54016516), 1582485.45)</f>
        <v>1582485.45</v>
      </c>
      <c r="BN279" s="68">
        <f>IF($BL$3="yes", MAX(0, (1373828 - 1083926.46) / 935217.574690472), 1083926.46)</f>
        <v>1083926.46</v>
      </c>
      <c r="BO279" s="68">
        <f>IF($BL$3="yes", MAX(0, (1373828 - 985178.48) / 938046.127518391), 985178.48)</f>
        <v>985178.48</v>
      </c>
      <c r="BP279" s="68">
        <f>IF($BL$3="yes", MAX(0, (1373828 - 951256.905) / 841664.799857179), 951256.905)</f>
        <v>951256.90500000003</v>
      </c>
      <c r="BQ279" s="68">
        <v>57.805709697353372</v>
      </c>
      <c r="BR279" s="68"/>
      <c r="BS279" s="68"/>
      <c r="BT279" s="68">
        <v>-10078996.22156436</v>
      </c>
      <c r="BU279" s="68">
        <v>143430.3557069767</v>
      </c>
      <c r="BV279" s="68">
        <f>IF($Z$3="yes", 0.148868842305803/$X279, 0.148868842305803)</f>
        <v>0.10633488736128786</v>
      </c>
      <c r="BW279" s="68">
        <f>IF($Z$3="yes", 0.102524887776057/$X279, 0.102524887776057)</f>
        <v>7.3232062697183575E-2</v>
      </c>
      <c r="BX279" s="68">
        <f>$BW$82 - $BV$82</f>
        <v>0</v>
      </c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  <c r="CQ279" s="81"/>
      <c r="CR279" s="81"/>
      <c r="CS279" s="68"/>
      <c r="CT279" s="68"/>
      <c r="CU279" s="68"/>
    </row>
    <row r="280" spans="1:99" ht="15.75" customHeight="1" thickBot="1" x14ac:dyDescent="0.3">
      <c r="A280" s="84"/>
      <c r="B280" s="67" t="s">
        <v>128</v>
      </c>
      <c r="C280" s="83" t="s">
        <v>636</v>
      </c>
      <c r="D280" s="67" t="s">
        <v>638</v>
      </c>
      <c r="E280" s="67">
        <v>1</v>
      </c>
      <c r="F280" s="85">
        <v>4.3</v>
      </c>
      <c r="G280" s="313">
        <v>44193</v>
      </c>
      <c r="H280" s="317">
        <v>2.29</v>
      </c>
      <c r="I280" s="85">
        <v>7.99</v>
      </c>
      <c r="J280" s="313">
        <v>44244</v>
      </c>
      <c r="K280" s="125">
        <f t="shared" si="10"/>
        <v>-0.46744186046511627</v>
      </c>
      <c r="L280" s="163">
        <f t="shared" si="11"/>
        <v>0.85813953488372108</v>
      </c>
      <c r="M280" s="312">
        <v>44407</v>
      </c>
      <c r="N280" s="68"/>
      <c r="O280" s="291">
        <v>49774538</v>
      </c>
      <c r="P280" s="291">
        <v>49450000</v>
      </c>
      <c r="Q280" s="291">
        <v>51</v>
      </c>
      <c r="R280" s="68" t="s">
        <v>131</v>
      </c>
      <c r="S280" s="68" t="s">
        <v>148</v>
      </c>
      <c r="T280" s="68" t="s">
        <v>208</v>
      </c>
      <c r="U280" s="68">
        <v>680</v>
      </c>
      <c r="V280" s="68">
        <v>41375703</v>
      </c>
      <c r="W280" s="68"/>
      <c r="X280" s="68">
        <v>5.01</v>
      </c>
      <c r="Y280" s="68">
        <v>2.1096635000000021</v>
      </c>
      <c r="Z280" s="68">
        <v>2.580899999999998</v>
      </c>
      <c r="AA280" s="68">
        <v>3.1104000000000012</v>
      </c>
      <c r="AB280" s="68">
        <v>2.7833999999999999</v>
      </c>
      <c r="AC280" s="68">
        <v>4.1455000000000011</v>
      </c>
      <c r="AD280" s="68">
        <v>3.962857142857144</v>
      </c>
      <c r="AE280" s="68">
        <v>3.98875</v>
      </c>
      <c r="AF280" s="68">
        <f>IF($Z$3="yes", 0.0130066917422934/$X280, 0.0130066917422934)</f>
        <v>2.5961460563459879E-3</v>
      </c>
      <c r="AG280" s="68">
        <f>IF($Z$3="yes", 0.0246747674767478/$X280, 0.0246747674767478)</f>
        <v>4.9251032887720168E-3</v>
      </c>
      <c r="AH280" s="68">
        <f>IF($Z$3="yes", 0.0693454981992793/$X280, 0.0693454981992793)</f>
        <v>1.3841416806243375E-2</v>
      </c>
      <c r="AI280" s="68">
        <f>IF($Z$3="yes", 0.0614593037214883/$X280, 0.0614593037214883)</f>
        <v>1.2267326092113433E-2</v>
      </c>
      <c r="AJ280" s="68">
        <f>IF($Z$3="yes", -0.0392706766917298/$X280, -0.0392706766917298)</f>
        <v>-7.8384584215029553E-3</v>
      </c>
      <c r="AK280" s="68">
        <f>IF($Z$3="yes", 0.0122197802197876/$X280, 0.0122197802197876)</f>
        <v>2.439077888181158E-3</v>
      </c>
      <c r="AL280" s="68">
        <f>IF($Z$3="yes", 0.0884523809523465/$X280, 0.0884523809523465)</f>
        <v>1.7655165858751799E-2</v>
      </c>
      <c r="AM280" s="68">
        <f>IF($Z$3="yes", 0.471236499999995/$X280, 0.471236499999995)</f>
        <v>9.4059181636725553E-2</v>
      </c>
      <c r="AN280" s="68">
        <f>IF($Z$3="yes", 1.00073649999999/$X280, 1.00073649999999)</f>
        <v>0.19974780439121556</v>
      </c>
      <c r="AO280" s="68">
        <f>IF($Z$3="yes", 0.673736499999998/$X280, 0.673736499999998)</f>
        <v>0.13447834331337286</v>
      </c>
      <c r="AP280" s="68">
        <f>IF($Z$3="yes", 2.03583649999999/$X280, 2.03583649999999)</f>
        <v>0.40635459081836128</v>
      </c>
      <c r="AQ280" s="68">
        <f>IF($Z$3="yes", 1.85319364285714/$X280, 1.85319364285714)</f>
        <v>0.36989893071000801</v>
      </c>
      <c r="AR280" s="68">
        <f>IF($Z$3="yes", 1.87908649999999/$X280, 1.87908649999999)</f>
        <v>0.37506716566866066</v>
      </c>
      <c r="AS280" s="68">
        <f>IF($Z$3="yes", 0.529500000000002/$X280, 0.529500000000002)</f>
        <v>0.10568862275449141</v>
      </c>
      <c r="AT280" s="68">
        <f>IF($Z$3="yes", 0.202500000000002/$X280, 0.202500000000002)</f>
        <v>4.0419161676647108E-2</v>
      </c>
      <c r="AU280" s="88">
        <f>IF($Z$3="yes", 1.5646/$X280, 1.5646)</f>
        <v>0.31229540918163673</v>
      </c>
      <c r="AV280" s="88">
        <f>IF($Z$3="yes", 1.38195714285714/$X280, 1.38195714285714)</f>
        <v>0.27583974907328146</v>
      </c>
      <c r="AW280" s="88">
        <f>IF($Z$3="yes", 1.40785/$X280, 1.40785)</f>
        <v>0.28100798403193616</v>
      </c>
      <c r="AX280" s="88">
        <f>IF($Z$3="yes", 0.327/$X280, 0.327)</f>
        <v>6.5269461077844315E-2</v>
      </c>
      <c r="AY280" s="88">
        <f>IF($Z$3="yes", 1.3621/$X280, 1.3621)</f>
        <v>0.27187624750499007</v>
      </c>
      <c r="AZ280" s="88">
        <f>IF($Z$3="yes", 1.17945714285714/$X280, 1.17945714285714)</f>
        <v>0.23542058739663477</v>
      </c>
      <c r="BA280" s="88">
        <f>IF($Z$3="yes", 1.20535/$X280, 1.20535)</f>
        <v>0.24058882235528942</v>
      </c>
      <c r="BB280" s="88">
        <f>IF($Z$3="yes", 1.0351/$X280, 1.0351)</f>
        <v>0.20660678642714569</v>
      </c>
      <c r="BC280" s="88">
        <f>IF($Z$3="yes", 0.852457142857143/$X280, 0.852457142857143)</f>
        <v>0.17015112631879103</v>
      </c>
      <c r="BD280" s="88">
        <f>IF($Z$3="yes", 0.878349999999999/$X280, 0.878349999999999)</f>
        <v>0.17531936127744491</v>
      </c>
      <c r="BE280" s="88">
        <f>IF($Z$3="yes", 0.182642857142857/$X280, 0.182642857142857)</f>
        <v>3.6455660108354694E-2</v>
      </c>
      <c r="BF280" s="88">
        <f>IF($Z$3="yes", 0.15675/$X280, 0.15675)</f>
        <v>3.12874251497006E-2</v>
      </c>
      <c r="BG280" s="88">
        <f>IF($Z$3="yes", 0.0258928571428564/$X280, 0.0258928571428564)</f>
        <v>5.168234958653972E-3</v>
      </c>
      <c r="BH280" s="88">
        <f>IF($Z$3="yes", 1.27071273469387/$X280, 1.27071273469387)</f>
        <v>0.25363527638600203</v>
      </c>
      <c r="BI280" s="68"/>
      <c r="BJ280" s="68"/>
      <c r="BK280" s="68">
        <f>IF($BL$3="yes", MAX(0, (41375703 - 12661807.4) / 14611051.4271002), 12661807.4)</f>
        <v>12661807.4</v>
      </c>
      <c r="BL280" s="68">
        <f>IF($BL$3="yes", MAX(0, (41375703 - 9236911.6) / 11071319.846034), 9236911.6)</f>
        <v>9236911.5999999996</v>
      </c>
      <c r="BM280" s="68">
        <f>IF($BL$3="yes", MAX(0, (41375703 - 6892489.35) / 8300173.71547755), 6892489.35)</f>
        <v>6892489.3499999996</v>
      </c>
      <c r="BN280" s="68">
        <f>IF($BL$3="yes", MAX(0, (41375703 - 12319851.8) / 43156140.1380346), 12319851.8)</f>
        <v>12319851.800000001</v>
      </c>
      <c r="BO280" s="68">
        <f>IF($BL$3="yes", MAX(0, (41375703 - 8106577.62) / 31384706.4669959), 8106577.62)</f>
        <v>8106577.6200000001</v>
      </c>
      <c r="BP280" s="68">
        <f>IF($BL$3="yes", MAX(0, (41375703 - 5888047.325) / 24839359.4877605), 5888047.325)</f>
        <v>5888047.3250000002</v>
      </c>
      <c r="BQ280" s="68">
        <v>62.444864736482337</v>
      </c>
      <c r="BR280" s="68"/>
      <c r="BS280" s="68"/>
      <c r="BT280" s="68">
        <v>74463866.769574478</v>
      </c>
      <c r="BU280" s="68">
        <v>6142944.9590445831</v>
      </c>
      <c r="BV280" s="68">
        <f>IF($Z$3="yes", 0.65432361878539/$X280, 0.65432361878539)</f>
        <v>0.13060351672363074</v>
      </c>
      <c r="BW280" s="68">
        <f>IF($Z$3="yes", 0.492288445786497/$X280, 0.492288445786497)</f>
        <v>9.8261166823652102E-2</v>
      </c>
      <c r="BX280" s="68">
        <f>$BW$85 - $BV$85</f>
        <v>1.9422575144371887E-2</v>
      </c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  <c r="CO280" s="68"/>
      <c r="CP280" s="68"/>
      <c r="CQ280" s="81"/>
      <c r="CR280" s="81"/>
      <c r="CS280" s="68"/>
      <c r="CT280" s="68"/>
      <c r="CU280" s="68"/>
    </row>
    <row r="281" spans="1:99" ht="15.75" customHeight="1" thickBot="1" x14ac:dyDescent="0.3">
      <c r="A281" s="84" t="s">
        <v>639</v>
      </c>
      <c r="B281" s="67" t="s">
        <v>128</v>
      </c>
      <c r="C281" s="83" t="s">
        <v>636</v>
      </c>
      <c r="D281" s="67" t="s">
        <v>640</v>
      </c>
      <c r="E281" s="67">
        <v>1</v>
      </c>
      <c r="F281" s="85">
        <v>0.61</v>
      </c>
      <c r="G281" s="313">
        <v>44193</v>
      </c>
      <c r="H281" s="317">
        <v>0.78979999999999995</v>
      </c>
      <c r="I281" s="85">
        <v>1.68</v>
      </c>
      <c r="J281" s="313">
        <v>44320</v>
      </c>
      <c r="K281" s="174">
        <f t="shared" si="10"/>
        <v>0.29475409836065558</v>
      </c>
      <c r="L281" s="149">
        <f t="shared" si="11"/>
        <v>1.7540983606557377</v>
      </c>
      <c r="M281" s="312">
        <v>44407</v>
      </c>
      <c r="N281" s="68"/>
      <c r="O281" s="291">
        <v>93584380</v>
      </c>
      <c r="P281" s="291">
        <v>85120000</v>
      </c>
      <c r="Q281" s="291">
        <v>127</v>
      </c>
      <c r="R281" s="68" t="s">
        <v>131</v>
      </c>
      <c r="S281" s="68" t="s">
        <v>148</v>
      </c>
      <c r="T281" s="68" t="s">
        <v>583</v>
      </c>
      <c r="U281" s="68">
        <v>96</v>
      </c>
      <c r="V281" s="68">
        <v>2101209</v>
      </c>
      <c r="W281" s="68"/>
      <c r="X281" s="68">
        <v>0.624</v>
      </c>
      <c r="Y281" s="68">
        <v>0.826600000000001</v>
      </c>
      <c r="Z281" s="68">
        <v>0.88741400000000015</v>
      </c>
      <c r="AA281" s="68">
        <v>0.75290400000000035</v>
      </c>
      <c r="AB281" s="68">
        <v>0.82204000000000055</v>
      </c>
      <c r="AC281" s="68">
        <v>0.6363950000000006</v>
      </c>
      <c r="AD281" s="68">
        <v>0.62632857142857135</v>
      </c>
      <c r="AE281" s="68">
        <v>0.61441250000000169</v>
      </c>
      <c r="AF281" s="68">
        <f>IF($Z$3="yes", 0.00123599339983491/$X281, 0.00123599339983491)</f>
        <v>1.9807586535815869E-3</v>
      </c>
      <c r="AG281" s="68">
        <f>IF($Z$3="yes", -0.00587971197119711/$X281, -0.00587971197119711)</f>
        <v>-9.4226153384569071E-3</v>
      </c>
      <c r="AH281" s="68">
        <f>IF($Z$3="yes", -0.00897060264105663/$X281, -0.00897060264105663)</f>
        <v>-1.4375965770924088E-2</v>
      </c>
      <c r="AI281" s="68">
        <f>IF($Z$3="yes", -0.0090103817527013/$X281, -0.0090103817527013)</f>
        <v>-1.4439714347277725E-2</v>
      </c>
      <c r="AJ281" s="68">
        <f>IF($Z$3="yes", -0.00315766917293259/$X281, -0.00315766917293259)</f>
        <v>-5.0603672643150478E-3</v>
      </c>
      <c r="AK281" s="68">
        <f>IF($Z$3="yes", -0.00336791208791256/$X281, -0.00336791208791256)</f>
        <v>-5.3972950126803844E-3</v>
      </c>
      <c r="AL281" s="68">
        <f>IF($Z$3="yes", 0.000179761904761781/$X281, 0.000179761904761781)</f>
        <v>2.8807997557977723E-4</v>
      </c>
      <c r="AM281" s="68">
        <f>IF($Z$3="yes", 0.0608139999999991/$X281, 0.0608139999999991)</f>
        <v>9.7458333333331884E-2</v>
      </c>
      <c r="AN281" s="68">
        <f>IF($Z$3="yes", 0.0736960000000006/$X281, 0.0736960000000006)</f>
        <v>0.11810256410256506</v>
      </c>
      <c r="AO281" s="68">
        <f>IF($Z$3="yes", 0.00456000000000045/$X281, 0.00456000000000045)</f>
        <v>7.3076923076930292E-3</v>
      </c>
      <c r="AP281" s="68">
        <f>IF($Z$3="yes", 0.190205/$X281, 0.190205)</f>
        <v>0.30481570512820516</v>
      </c>
      <c r="AQ281" s="68">
        <f>IF($Z$3="yes", 0.200271428571429/$X281, 0.200271428571429)</f>
        <v>0.32094780219780289</v>
      </c>
      <c r="AR281" s="68">
        <f>IF($Z$3="yes", 0.212187499999999/$X281, 0.212187499999999)</f>
        <v>0.34004407051281893</v>
      </c>
      <c r="AS281" s="68">
        <f>IF($Z$3="yes", 0.134509999999999/$X281, 0.134509999999999)</f>
        <v>0.21556089743589582</v>
      </c>
      <c r="AT281" s="68">
        <f>IF($Z$3="yes", 0.0653739999999996/$X281, 0.0653739999999996)</f>
        <v>0.104766025641025</v>
      </c>
      <c r="AU281" s="88">
        <f>IF($Z$3="yes", 0.251018999999999/$X281, 0.251018999999999)</f>
        <v>0.40227403846153686</v>
      </c>
      <c r="AV281" s="88">
        <f>IF($Z$3="yes", 0.261085428571428/$X281, 0.261085428571428)</f>
        <v>0.41840613553113465</v>
      </c>
      <c r="AW281" s="88">
        <f>IF($Z$3="yes", 0.273001499999998/$X281, 0.273001499999998)</f>
        <v>0.43750240384615063</v>
      </c>
      <c r="AX281" s="88">
        <f>IF($Z$3="yes", 0.0691360000000002/$X281, 0.0691360000000002)</f>
        <v>0.11079487179487212</v>
      </c>
      <c r="AY281" s="88">
        <f>IF($Z$3="yes", 0.185644999999999/$X281, 0.185644999999999)</f>
        <v>0.2975080128205112</v>
      </c>
      <c r="AZ281" s="88">
        <f>IF($Z$3="yes", 0.195711428571429/$X281, 0.195711428571429)</f>
        <v>0.3136401098901106</v>
      </c>
      <c r="BA281" s="88">
        <f>IF($Z$3="yes", 0.207627499999998/$X281, 0.207627499999998)</f>
        <v>0.33273637820512497</v>
      </c>
      <c r="BB281" s="88">
        <f>IF($Z$3="yes", 0.116508999999999/$X281, 0.116508999999999)</f>
        <v>0.18671314102563943</v>
      </c>
      <c r="BC281" s="88">
        <f>IF($Z$3="yes", 0.126575428571429/$X281, 0.126575428571429)</f>
        <v>0.2028452380952388</v>
      </c>
      <c r="BD281" s="88">
        <f>IF($Z$3="yes", 0.138491499999998/$X281, 0.138491499999998)</f>
        <v>0.2219415064102532</v>
      </c>
      <c r="BE281" s="88">
        <f>IF($Z$3="yes", 0.0100664285714292/$X281, 0.0100664285714292)</f>
        <v>1.6132097069598075E-2</v>
      </c>
      <c r="BF281" s="88">
        <f>IF($Z$3="yes", 0.0219824999999989/$X281, 0.0219824999999989)</f>
        <v>3.5228365384613623E-2</v>
      </c>
      <c r="BG281" s="88">
        <f>IF($Z$3="yes", 0.0119160714285696/$X281, 0.0119160714285696)</f>
        <v>1.9096268315015385E-2</v>
      </c>
      <c r="BH281" s="88">
        <f>IF($Z$3="yes", 0.186505513605441/$X281, 0.186505513605441)</f>
        <v>0.29888704103436053</v>
      </c>
      <c r="BI281" s="68"/>
      <c r="BJ281" s="68"/>
      <c r="BK281" s="68">
        <f>IF($BL$3="yes", MAX(0, (2101209 - 1123685.2) / 536969.009025437), 1123685.2)</f>
        <v>1123685.2</v>
      </c>
      <c r="BL281" s="68">
        <f>IF($BL$3="yes", MAX(0, (2101209 - 796261.9) / 509072.263012325), 796261.9)</f>
        <v>796261.9</v>
      </c>
      <c r="BM281" s="68">
        <f>IF($BL$3="yes", MAX(0, (2101209 - 1020244.55) / 865576.831000777), 1020244.55)</f>
        <v>1020244.55</v>
      </c>
      <c r="BN281" s="68">
        <f>IF($BL$3="yes", MAX(0, (2101209 - 838701.82) / 1158378.03894013), 838701.82)</f>
        <v>838701.82</v>
      </c>
      <c r="BO281" s="68">
        <f>IF($BL$3="yes", MAX(0, (2101209 - 556991.39) / 893761.552178497), 556991.39)</f>
        <v>556991.39</v>
      </c>
      <c r="BP281" s="68">
        <f>IF($BL$3="yes", MAX(0, (2101209 - 684478.305) / 1333147.45671375), 684478.305)</f>
        <v>684478.30500000005</v>
      </c>
      <c r="BQ281" s="68">
        <v>43.886362299540387</v>
      </c>
      <c r="BR281" s="68"/>
      <c r="BS281" s="68"/>
      <c r="BT281" s="68">
        <v>-8818086.8303379491</v>
      </c>
      <c r="BU281" s="68">
        <v>-501891.04724456562</v>
      </c>
      <c r="BV281" s="68">
        <f>IF($Z$3="yes", 0.05231449550893/$X281, 0.05231449550893)</f>
        <v>8.3837332546362178E-2</v>
      </c>
      <c r="BW281" s="68">
        <f>IF($Z$3="yes", 0.0599485983755474/$X281, 0.0599485983755474)</f>
        <v>9.6071471755684937E-2</v>
      </c>
      <c r="BX281" s="68">
        <f>$BW$87 - $BV$87</f>
        <v>-9.3144198567850667E-2</v>
      </c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  <c r="CO281" s="68"/>
      <c r="CP281" s="68"/>
      <c r="CQ281" s="81"/>
      <c r="CR281" s="81"/>
      <c r="CS281" s="68"/>
      <c r="CT281" s="68"/>
      <c r="CU281" s="68"/>
    </row>
    <row r="282" spans="1:99" ht="15.75" customHeight="1" thickBot="1" x14ac:dyDescent="0.3">
      <c r="A282" s="84" t="s">
        <v>205</v>
      </c>
      <c r="B282" s="67" t="s">
        <v>128</v>
      </c>
      <c r="C282" s="83" t="s">
        <v>641</v>
      </c>
      <c r="D282" s="67" t="s">
        <v>481</v>
      </c>
      <c r="E282" s="67">
        <v>1</v>
      </c>
      <c r="F282" s="85">
        <v>1.88</v>
      </c>
      <c r="G282" s="313">
        <v>44187</v>
      </c>
      <c r="H282" s="317">
        <v>1.08</v>
      </c>
      <c r="I282" s="85">
        <v>4.1399999999999997</v>
      </c>
      <c r="J282" s="313">
        <v>44243</v>
      </c>
      <c r="K282" s="125">
        <f t="shared" si="10"/>
        <v>-0.42553191489361697</v>
      </c>
      <c r="L282" s="256">
        <f t="shared" si="11"/>
        <v>1.2021276595744679</v>
      </c>
      <c r="M282" s="312">
        <v>44407</v>
      </c>
      <c r="N282" s="68"/>
      <c r="O282" s="291">
        <v>49487492</v>
      </c>
      <c r="P282" s="291">
        <v>41050000</v>
      </c>
      <c r="Q282" s="291">
        <v>56</v>
      </c>
      <c r="R282" s="68" t="s">
        <v>131</v>
      </c>
      <c r="S282" s="68" t="s">
        <v>157</v>
      </c>
      <c r="T282" s="68" t="s">
        <v>304</v>
      </c>
      <c r="U282" s="68">
        <v>164</v>
      </c>
      <c r="V282" s="68">
        <v>587253</v>
      </c>
      <c r="W282" s="68"/>
      <c r="X282" s="68">
        <v>1.92</v>
      </c>
      <c r="Y282" s="68">
        <v>2.3387855000000002</v>
      </c>
      <c r="Z282" s="68">
        <v>2.0104039999999999</v>
      </c>
      <c r="AA282" s="68">
        <v>1.8824039999999991</v>
      </c>
      <c r="AB282" s="68">
        <v>1.850603999999999</v>
      </c>
      <c r="AC282" s="68">
        <v>1.8715000000000011</v>
      </c>
      <c r="AD282" s="68">
        <v>1.878571428571427</v>
      </c>
      <c r="AE282" s="68">
        <v>1.8949999999999969</v>
      </c>
      <c r="AF282" s="68">
        <f>IF($Z$3="yes", -0.00503414482862078/$X282, -0.00503414482862078)</f>
        <v>-2.6219504315733227E-3</v>
      </c>
      <c r="AG282" s="68">
        <f>IF($Z$3="yes", -0.00842246264626466/$X282, -0.00842246264626466)</f>
        <v>-4.3866992949295105E-3</v>
      </c>
      <c r="AH282" s="68">
        <f>IF($Z$3="yes", -0.00236295798319296/$X282, -0.00236295798319296)</f>
        <v>-1.230707282913E-3</v>
      </c>
      <c r="AI282" s="68">
        <f>IF($Z$3="yes", -0.000290737094837721/$X282, -0.000290737094837721)</f>
        <v>-1.514255702279797E-4</v>
      </c>
      <c r="AJ282" s="68">
        <f>IF($Z$3="yes", 0.00306015037593894/$X282, 0.00306015037593894)</f>
        <v>1.5938283208015312E-3</v>
      </c>
      <c r="AK282" s="68">
        <f>IF($Z$3="yes", 0.00523076923077432/$X282, 0.00523076923077432)</f>
        <v>2.7243589743616253E-3</v>
      </c>
      <c r="AL282" s="68">
        <f>IF($Z$3="yes", -0.00476190476189332/$X282, -0.00476190476189332)</f>
        <v>-2.4801587301527708E-3</v>
      </c>
      <c r="AM282" s="68">
        <f>IF($Z$3="yes", 0.328381499999999/$X282, 0.328381499999999)</f>
        <v>0.17103203124999949</v>
      </c>
      <c r="AN282" s="68">
        <f>IF($Z$3="yes", 0.4563815/$X282, 0.4563815)</f>
        <v>0.23769869791666667</v>
      </c>
      <c r="AO282" s="68">
        <f>IF($Z$3="yes", 0.4881815/$X282, 0.4881815)</f>
        <v>0.25426119791666668</v>
      </c>
      <c r="AP282" s="68">
        <f>IF($Z$3="yes", 0.467285499999998/$X282, 0.467285499999998)</f>
        <v>0.2433778645833323</v>
      </c>
      <c r="AQ282" s="68">
        <f>IF($Z$3="yes", 0.460214071428572/$X282, 0.460214071428572)</f>
        <v>0.23969482886904794</v>
      </c>
      <c r="AR282" s="68">
        <f>IF($Z$3="yes", 0.443785500000002/$X282, 0.443785500000002)</f>
        <v>0.23113828125000105</v>
      </c>
      <c r="AS282" s="68">
        <f>IF($Z$3="yes", 0.128000000000001/$X282, 0.128000000000001)</f>
        <v>6.6666666666667193E-2</v>
      </c>
      <c r="AT282" s="68">
        <f>IF($Z$3="yes", 0.159800000000001/$X282, 0.159800000000001)</f>
        <v>8.3229166666667187E-2</v>
      </c>
      <c r="AU282" s="88">
        <f>IF($Z$3="yes", 0.138903999999999/$X282, 0.138903999999999)</f>
        <v>7.2345833333332818E-2</v>
      </c>
      <c r="AV282" s="88">
        <f>IF($Z$3="yes", 0.131832571428573/$X282, 0.131832571428573)</f>
        <v>6.8662797619048435E-2</v>
      </c>
      <c r="AW282" s="88">
        <f>IF($Z$3="yes", 0.115404000000002/$X282, 0.115404000000002)</f>
        <v>6.0106250000001048E-2</v>
      </c>
      <c r="AX282" s="88">
        <f>IF($Z$3="yes", 0.0317999999999998/$X282, 0.0317999999999998)</f>
        <v>1.6562499999999897E-2</v>
      </c>
      <c r="AY282" s="88">
        <f>IF($Z$3="yes", 0.0208960000000018/$X282, 0.0208960000000018)</f>
        <v>1.088333333333427E-2</v>
      </c>
      <c r="AZ282" s="88">
        <f>IF($Z$3="yes", 0.0279674285714282/$X282, 0.0279674285714282)</f>
        <v>1.4566369047618854E-2</v>
      </c>
      <c r="BA282" s="88">
        <f>IF($Z$3="yes", 0.0443959999999983/$X282, 0.0443959999999983)</f>
        <v>2.3122916666665782E-2</v>
      </c>
      <c r="BB282" s="88">
        <f>IF($Z$3="yes", 0.010903999999998/$X282, 0.010903999999998)</f>
        <v>5.6791666666656257E-3</v>
      </c>
      <c r="BC282" s="88">
        <f>IF($Z$3="yes", 0.00383257142857162/$X282, 0.00383257142857162)</f>
        <v>1.9961309523810521E-3</v>
      </c>
      <c r="BD282" s="88">
        <f>IF($Z$3="yes", 0.0125959999999984/$X282, 0.0125959999999984)</f>
        <v>6.560416666665834E-3</v>
      </c>
      <c r="BE282" s="88">
        <f>IF($Z$3="yes", 0.00707142857142639/$X282, 0.00707142857142639)</f>
        <v>3.6830357142845784E-3</v>
      </c>
      <c r="BF282" s="88">
        <f>IF($Z$3="yes", 0.0234999999999965/$X282, 0.0234999999999965)</f>
        <v>1.223958333333151E-2</v>
      </c>
      <c r="BG282" s="88">
        <f>IF($Z$3="yes", 0.0164285714285701/$X282, 0.0164285714285701)</f>
        <v>8.5565476190469277E-3</v>
      </c>
      <c r="BH282" s="88">
        <f>IF($Z$3="yes", 0.309827170068027/$X282, 0.309827170068027)</f>
        <v>0.16136831774376409</v>
      </c>
      <c r="BI282" s="68"/>
      <c r="BJ282" s="68"/>
      <c r="BK282" s="68">
        <f>IF($BL$3="yes", MAX(0, (587253 - 754591.8) / 142557.230589542), 754591.8)</f>
        <v>754591.8</v>
      </c>
      <c r="BL282" s="68">
        <f>IF($BL$3="yes", MAX(0, (587253 - 952578.4) / 827707.017119246), 952578.4)</f>
        <v>952578.4</v>
      </c>
      <c r="BM282" s="68">
        <f>IF($BL$3="yes", MAX(0, (587253 - 753896.85) / 622827.362425116), 753896.85)</f>
        <v>753896.85</v>
      </c>
      <c r="BN282" s="68">
        <f>IF($BL$3="yes", MAX(0, (587253 - 4254977.8) / 17923366.8359113), 4254977.8)</f>
        <v>4254977.8</v>
      </c>
      <c r="BO282" s="68">
        <f>IF($BL$3="yes", MAX(0, (587253 - 2478293.38) / 13027235.8425019), 2478293.38)</f>
        <v>2478293.38</v>
      </c>
      <c r="BP282" s="68">
        <f>IF($BL$3="yes", MAX(0, (587253 - 1792962.07) / 9873387.88726522), 1792962.07)</f>
        <v>1792962.07</v>
      </c>
      <c r="BQ282" s="68">
        <v>52.872643597518767</v>
      </c>
      <c r="BR282" s="68"/>
      <c r="BS282" s="68"/>
      <c r="BT282" s="68">
        <v>-115665365.49896049</v>
      </c>
      <c r="BU282" s="68">
        <v>-544358.85325676203</v>
      </c>
      <c r="BV282" s="68">
        <f>IF($Z$3="yes", 0.153612415145147/$X282, 0.153612415145147)</f>
        <v>8.0006466221430733E-2</v>
      </c>
      <c r="BW282" s="68">
        <f>IF($Z$3="yes", 0.259395359264975/$X282, 0.259395359264975)</f>
        <v>0.13510174961717447</v>
      </c>
      <c r="BX282" s="68">
        <f>$BW$80 - $BV$80</f>
        <v>2.9792382034088183E-2</v>
      </c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  <c r="CQ282" s="81"/>
      <c r="CR282" s="81"/>
      <c r="CS282" s="68"/>
      <c r="CT282" s="68"/>
      <c r="CU282" s="68"/>
    </row>
    <row r="283" spans="1:99" ht="15.75" customHeight="1" thickBot="1" x14ac:dyDescent="0.3">
      <c r="A283" s="84" t="s">
        <v>194</v>
      </c>
      <c r="B283" s="67" t="s">
        <v>128</v>
      </c>
      <c r="C283" s="83" t="s">
        <v>642</v>
      </c>
      <c r="D283" s="67" t="s">
        <v>499</v>
      </c>
      <c r="E283" s="67">
        <v>1</v>
      </c>
      <c r="F283" s="85">
        <v>2.08</v>
      </c>
      <c r="G283" s="313">
        <v>44186</v>
      </c>
      <c r="H283" s="317">
        <v>1.73</v>
      </c>
      <c r="I283" s="85">
        <v>5.68</v>
      </c>
      <c r="J283" s="313">
        <v>44232</v>
      </c>
      <c r="K283" s="162">
        <f t="shared" si="10"/>
        <v>-0.16826923076923084</v>
      </c>
      <c r="L283" s="127">
        <f t="shared" si="11"/>
        <v>1.7307692307692304</v>
      </c>
      <c r="M283" s="312">
        <v>44407</v>
      </c>
      <c r="N283" s="68"/>
      <c r="O283" s="291">
        <v>20869463</v>
      </c>
      <c r="P283" s="291">
        <v>2350000</v>
      </c>
      <c r="Q283" s="291">
        <v>46</v>
      </c>
      <c r="R283" s="68" t="s">
        <v>152</v>
      </c>
      <c r="S283" s="68" t="s">
        <v>132</v>
      </c>
      <c r="T283" s="67" t="s">
        <v>214</v>
      </c>
      <c r="U283" s="68">
        <v>72</v>
      </c>
      <c r="V283" s="68">
        <v>80012</v>
      </c>
      <c r="W283" s="68"/>
      <c r="X283" s="68">
        <v>2.14</v>
      </c>
      <c r="Y283" s="68">
        <v>2.3653040000000001</v>
      </c>
      <c r="Z283" s="68">
        <v>2.6457810000000008</v>
      </c>
      <c r="AA283" s="68">
        <v>2.5641299999999991</v>
      </c>
      <c r="AB283" s="68">
        <v>2.9343299999999992</v>
      </c>
      <c r="AC283" s="68">
        <v>2.370000000000001</v>
      </c>
      <c r="AD283" s="68">
        <v>2.3614285714285721</v>
      </c>
      <c r="AE283" s="68">
        <v>2.2899999999999978</v>
      </c>
      <c r="AF283" s="68">
        <f>IF($Z$3="yes", 0.00392728268206702/$X283, 0.00392728268206702)</f>
        <v>1.8351788233958036E-3</v>
      </c>
      <c r="AG283" s="68">
        <f>IF($Z$3="yes", -0.00340415541554158/$X283, -0.00340415541554158)</f>
        <v>-1.590726829692327E-3</v>
      </c>
      <c r="AH283" s="68">
        <f>IF($Z$3="yes", -0.0225343337334929/$X283, -0.0225343337334929)</f>
        <v>-1.0530062492286401E-2</v>
      </c>
      <c r="AI283" s="68">
        <f>IF($Z$3="yes", -0.0458073229291712/$X283, -0.0458073229291712)</f>
        <v>-2.1405291088397758E-2</v>
      </c>
      <c r="AJ283" s="68">
        <f>IF($Z$3="yes", -0.0105563909774445/$X283, -0.0105563909774445)</f>
        <v>-4.9328929801142514E-3</v>
      </c>
      <c r="AK283" s="68">
        <f>IF($Z$3="yes", -0.0279120879120855/$X283, -0.0279120879120855)</f>
        <v>-1.3043031734619391E-2</v>
      </c>
      <c r="AL283" s="68">
        <f>IF($Z$3="yes", -0.0364285714285876/$X283, -0.0364285714285876)</f>
        <v>-1.7022696929246541E-2</v>
      </c>
      <c r="AM283" s="68">
        <f>IF($Z$3="yes", 0.280477/$X283, 0.280477)</f>
        <v>0.13106401869158876</v>
      </c>
      <c r="AN283" s="68">
        <f>IF($Z$3="yes", 0.198825999999999/$X283, 0.198825999999999)</f>
        <v>9.2909345794392056E-2</v>
      </c>
      <c r="AO283" s="68">
        <f>IF($Z$3="yes", 0.569025999999998/$X283, 0.569025999999998)</f>
        <v>0.26589999999999908</v>
      </c>
      <c r="AP283" s="68">
        <f>IF($Z$3="yes", 0.00469600000000047/$X283, 0.00469600000000047)</f>
        <v>2.1943925233647052E-3</v>
      </c>
      <c r="AQ283" s="68">
        <f>IF($Z$3="yes", 0.00387542857142797/$X283, 0.00387542857142797)</f>
        <v>1.8109479305738175E-3</v>
      </c>
      <c r="AR283" s="68">
        <f>IF($Z$3="yes", 0.0753040000000022/$X283, 0.0753040000000022)</f>
        <v>3.5188785046730002E-2</v>
      </c>
      <c r="AS283" s="68">
        <f>IF($Z$3="yes", 0.0816510000000017/$X283, 0.0816510000000017)</f>
        <v>3.8154672897197053E-2</v>
      </c>
      <c r="AT283" s="68">
        <f>IF($Z$3="yes", 0.288548999999997/$X283, 0.288548999999997)</f>
        <v>0.13483598130840982</v>
      </c>
      <c r="AU283" s="88">
        <f>IF($Z$3="yes", 0.275781/$X283, 0.275781)</f>
        <v>0.12886962616822428</v>
      </c>
      <c r="AV283" s="88">
        <f>IF($Z$3="yes", 0.284352428571428/$X283, 0.284352428571428)</f>
        <v>0.13287496662216261</v>
      </c>
      <c r="AW283" s="88">
        <f>IF($Z$3="yes", 0.355781000000003/$X283, 0.355781000000003)</f>
        <v>0.16625280373831916</v>
      </c>
      <c r="AX283" s="88">
        <f>IF($Z$3="yes", 0.370199999999999/$X283, 0.370199999999999)</f>
        <v>0.172990654205607</v>
      </c>
      <c r="AY283" s="88">
        <f>IF($Z$3="yes", 0.564329999999998/$X283, 0.564329999999998)</f>
        <v>0.26370560747663457</v>
      </c>
      <c r="AZ283" s="88">
        <f>IF($Z$3="yes", 0.572901428571426/$X283, 0.572901428571426)</f>
        <v>0.26771094793057287</v>
      </c>
      <c r="BA283" s="88">
        <f>IF($Z$3="yes", 0.644330000000001/$X283, 0.644330000000001)</f>
        <v>0.30108878504672942</v>
      </c>
      <c r="BB283" s="88">
        <f>IF($Z$3="yes", 0.194129999999998/$X283, 0.194129999999998)</f>
        <v>9.0714953271027091E-2</v>
      </c>
      <c r="BC283" s="88">
        <f>IF($Z$3="yes", 0.202701428571427/$X283, 0.202701428571427)</f>
        <v>9.472029372496589E-2</v>
      </c>
      <c r="BD283" s="88">
        <f>IF($Z$3="yes", 0.274130000000001/$X283, 0.274130000000001)</f>
        <v>0.12809813084112195</v>
      </c>
      <c r="BE283" s="88">
        <f>IF($Z$3="yes", 0.00857142857142845/$X283, 0.00857142857142845)</f>
        <v>4.0053404539385279E-3</v>
      </c>
      <c r="BF283" s="88">
        <f>IF($Z$3="yes", 0.0800000000000027/$X283, 0.0800000000000027)</f>
        <v>3.7383177570094718E-2</v>
      </c>
      <c r="BG283" s="88">
        <f>IF($Z$3="yes", 0.0714285714285742/$X283, 0.0714285714285742)</f>
        <v>3.3377837116156168E-2</v>
      </c>
      <c r="BH283" s="88">
        <f>IF($Z$3="yes", 0.455865108843537/$X283, 0.455865108843537)</f>
        <v>0.21302107889884905</v>
      </c>
      <c r="BI283" s="68"/>
      <c r="BJ283" s="68"/>
      <c r="BK283" s="68">
        <f>IF($BL$3="yes", MAX(0, (80012 - 145788.8) / 44670.9026700826), 145788.8)</f>
        <v>145788.79999999999</v>
      </c>
      <c r="BL283" s="68">
        <f>IF($BL$3="yes", MAX(0, (80012 - 124402.3) / 46926.1161701029), 124402.3)</f>
        <v>124402.3</v>
      </c>
      <c r="BM283" s="68">
        <f>IF($BL$3="yes", MAX(0, (80012 - 266563.15) / 300925.368086387), 266563.15)</f>
        <v>266563.15000000002</v>
      </c>
      <c r="BN283" s="68">
        <f>IF($BL$3="yes", MAX(0, (80012 - 405217.98) / 938891.694107163), 405217.98)</f>
        <v>405217.98</v>
      </c>
      <c r="BO283" s="68">
        <f>IF($BL$3="yes", MAX(0, (80012 - 685322.79) / 2858979.08541057), 685322.79)</f>
        <v>685322.79</v>
      </c>
      <c r="BP283" s="68">
        <f>IF($BL$3="yes", MAX(0, (80012 - 400807.87) / 2082532.56334869), 400807.87)</f>
        <v>400807.87</v>
      </c>
      <c r="BQ283" s="68">
        <v>40.214110008076389</v>
      </c>
      <c r="BR283" s="68"/>
      <c r="BS283" s="68"/>
      <c r="BT283" s="68">
        <v>-10164067.17213293</v>
      </c>
      <c r="BU283" s="68">
        <v>18940.51549182646</v>
      </c>
      <c r="BV283" s="68">
        <f>IF($Z$3="yes", 0.224908873443661/$X283, 0.224908873443661)</f>
        <v>0.10509760441292569</v>
      </c>
      <c r="BW283" s="68">
        <f>IF($Z$3="yes", 0.332909746398763/$X283, 0.332909746398763)</f>
        <v>0.15556530205549671</v>
      </c>
      <c r="BX283" s="68">
        <f>$BW$76 - $BV$76</f>
        <v>4.119775136374966E-2</v>
      </c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  <c r="CO283" s="68"/>
      <c r="CP283" s="68"/>
      <c r="CQ283" s="81"/>
      <c r="CR283" s="81"/>
      <c r="CS283" s="68"/>
      <c r="CT283" s="68"/>
      <c r="CU283" s="68"/>
    </row>
    <row r="284" spans="1:99" ht="15.75" customHeight="1" thickBot="1" x14ac:dyDescent="0.3">
      <c r="A284" s="84"/>
      <c r="B284" s="67" t="s">
        <v>128</v>
      </c>
      <c r="C284" s="83" t="s">
        <v>642</v>
      </c>
      <c r="D284" s="67" t="s">
        <v>199</v>
      </c>
      <c r="E284" s="67">
        <v>1</v>
      </c>
      <c r="F284" s="85">
        <v>4.2699999999999996</v>
      </c>
      <c r="G284" s="313">
        <v>44186</v>
      </c>
      <c r="H284" s="317">
        <v>3.74</v>
      </c>
      <c r="I284" s="85">
        <v>9.64</v>
      </c>
      <c r="J284" s="313">
        <v>44236</v>
      </c>
      <c r="K284" s="257">
        <f t="shared" si="10"/>
        <v>-0.12412177985948469</v>
      </c>
      <c r="L284" s="250">
        <f t="shared" si="11"/>
        <v>1.2576112412177989</v>
      </c>
      <c r="M284" s="312">
        <v>44407</v>
      </c>
      <c r="N284" s="68"/>
      <c r="O284" s="291">
        <v>4079391</v>
      </c>
      <c r="P284" s="291">
        <v>3200000</v>
      </c>
      <c r="Q284" s="291">
        <v>50</v>
      </c>
      <c r="R284" s="68" t="s">
        <v>131</v>
      </c>
      <c r="S284" s="68" t="s">
        <v>148</v>
      </c>
      <c r="T284" s="67" t="s">
        <v>200</v>
      </c>
      <c r="U284" s="68">
        <v>32</v>
      </c>
      <c r="V284" s="68">
        <v>81798</v>
      </c>
      <c r="W284" s="68"/>
      <c r="X284" s="68">
        <v>4.24</v>
      </c>
      <c r="Y284" s="68">
        <v>5.2557679999999953</v>
      </c>
      <c r="Z284" s="68">
        <v>6.798789000000002</v>
      </c>
      <c r="AA284" s="68">
        <v>5.9730779999999983</v>
      </c>
      <c r="AB284" s="68">
        <v>6.5120780000000007</v>
      </c>
      <c r="AC284" s="68">
        <v>4.7149999999999981</v>
      </c>
      <c r="AD284" s="68">
        <v>4.5771428571428574</v>
      </c>
      <c r="AE284" s="68">
        <v>4.4974999999999969</v>
      </c>
      <c r="AF284" s="68">
        <f>IF($Z$3="yes", 0.0263914397359935/$X284, 0.0263914397359935)</f>
        <v>6.2243961641494103E-3</v>
      </c>
      <c r="AG284" s="68">
        <f>IF($Z$3="yes", -0.0349139819982/$X284, -0.0349139819982)</f>
        <v>-8.2344297165566037E-3</v>
      </c>
      <c r="AH284" s="68">
        <f>IF($Z$3="yes", -0.087788960384154/$X284, -0.087788960384154)</f>
        <v>-2.0704943486828772E-2</v>
      </c>
      <c r="AI284" s="68">
        <f>IF($Z$3="yes", -0.0686068235294124/$X284, -0.0686068235294124)</f>
        <v>-1.6180854605993489E-2</v>
      </c>
      <c r="AJ284" s="68">
        <f>IF($Z$3="yes", -0.0363609022556436/$X284, -0.0363609022556436)</f>
        <v>-8.5756844942555654E-3</v>
      </c>
      <c r="AK284" s="68">
        <f>IF($Z$3="yes", -0.025670329670328/$X284, -0.025670329670328)</f>
        <v>-6.0543230354547168E-3</v>
      </c>
      <c r="AL284" s="68">
        <f>IF($Z$3="yes", -0.00380952380945402/$X284, -0.00380952380945402)</f>
        <v>-8.9847259656934426E-4</v>
      </c>
      <c r="AM284" s="68">
        <f>IF($Z$3="yes", 1.543021/$X284, 1.543021)</f>
        <v>0.3639200471698113</v>
      </c>
      <c r="AN284" s="68">
        <f>IF($Z$3="yes", 0.717310000000003/$X284, 0.717310000000003)</f>
        <v>0.16917688679245352</v>
      </c>
      <c r="AO284" s="68">
        <f>IF($Z$3="yes", 1.25631/$X284, 1.25631)</f>
        <v>0.29629952830188677</v>
      </c>
      <c r="AP284" s="68">
        <f>IF($Z$3="yes", 0.540767999999997/$X284, 0.540767999999997)</f>
        <v>0.12753962264150873</v>
      </c>
      <c r="AQ284" s="68">
        <f>IF($Z$3="yes", 0.678625142857137/$X284, 0.678625142857137)</f>
        <v>0.16005309973045684</v>
      </c>
      <c r="AR284" s="68">
        <f>IF($Z$3="yes", 0.758267999999998/$X284, 0.758267999999998)</f>
        <v>0.17883679245282971</v>
      </c>
      <c r="AS284" s="68">
        <f>IF($Z$3="yes", 0.825711000000003/$X284, 0.825711000000003)</f>
        <v>0.19474316037735917</v>
      </c>
      <c r="AT284" s="68">
        <f>IF($Z$3="yes", 0.286711000000001/$X284, 0.286711000000001)</f>
        <v>6.7620518867924764E-2</v>
      </c>
      <c r="AU284" s="88">
        <f>IF($Z$3="yes", 2.083789/$X284, 2.083789)</f>
        <v>0.49145966981132072</v>
      </c>
      <c r="AV284" s="88">
        <f>IF($Z$3="yes", 2.22164614285714/$X284, 2.22164614285714)</f>
        <v>0.52397314690026886</v>
      </c>
      <c r="AW284" s="88">
        <f>IF($Z$3="yes", 2.301289/$X284, 2.301289)</f>
        <v>0.54275683962264154</v>
      </c>
      <c r="AX284" s="88">
        <f>IF($Z$3="yes", 0.539000000000002/$X284, 0.539000000000002)</f>
        <v>0.12712264150943445</v>
      </c>
      <c r="AY284" s="88">
        <f>IF($Z$3="yes", 1.797078/$X284, 1.797078)</f>
        <v>0.42383915094339619</v>
      </c>
      <c r="AZ284" s="88">
        <f>IF($Z$3="yes", 1.93493514285714/$X284, 1.93493514285714)</f>
        <v>0.45635262803234433</v>
      </c>
      <c r="BA284" s="88">
        <f>IF($Z$3="yes", 2.014578/$X284, 2.014578)</f>
        <v>0.47513632075471701</v>
      </c>
      <c r="BB284" s="88">
        <f>IF($Z$3="yes", 1.258078/$X284, 1.258078)</f>
        <v>0.29671650943396227</v>
      </c>
      <c r="BC284" s="88">
        <f>IF($Z$3="yes", 1.39593514285714/$X284, 1.39593514285714)</f>
        <v>0.32922998652291036</v>
      </c>
      <c r="BD284" s="88">
        <f>IF($Z$3="yes", 1.475578/$X284, 1.475578)</f>
        <v>0.34801367924528304</v>
      </c>
      <c r="BE284" s="88">
        <f>IF($Z$3="yes", 0.13785714285714/$X284, 0.13785714285714)</f>
        <v>3.2513477088948112E-2</v>
      </c>
      <c r="BF284" s="88">
        <f>IF($Z$3="yes", 0.217500000000001/$X284, 0.217500000000001)</f>
        <v>5.1297169811320986E-2</v>
      </c>
      <c r="BG284" s="88">
        <f>IF($Z$3="yes", 0.0796428571428604/$X284, 0.0796428571428604)</f>
        <v>1.8783692722372736E-2</v>
      </c>
      <c r="BH284" s="88">
        <f>IF($Z$3="yes", 1.47037821088435/$X284, 1.47037821088435)</f>
        <v>0.34678731388781836</v>
      </c>
      <c r="BI284" s="68"/>
      <c r="BJ284" s="68"/>
      <c r="BK284" s="68">
        <f>IF($BL$3="yes", MAX(0, (81798 - 125218.6) / 59031.0518002178), 125218.6)</f>
        <v>125218.6</v>
      </c>
      <c r="BL284" s="68">
        <f>IF($BL$3="yes", MAX(0, (81798 - 102254) / 51167.4446811642), 102254)</f>
        <v>102254</v>
      </c>
      <c r="BM284" s="68">
        <f>IF($BL$3="yes", MAX(0, (81798 - 135732.5) / 99986.0376625156), 135732.5)</f>
        <v>135732.5</v>
      </c>
      <c r="BN284" s="68">
        <f>IF($BL$3="yes", MAX(0, (81798 - 272399.28) / 1125448.70574431), 272399.28)</f>
        <v>272399.28000000003</v>
      </c>
      <c r="BO284" s="68">
        <f>IF($BL$3="yes", MAX(0, (81798 - 174556.27) / 802867.640888058), 174556.27)</f>
        <v>174556.27</v>
      </c>
      <c r="BP284" s="68">
        <f>IF($BL$3="yes", MAX(0, (81798 - 157301.296) / 604607.982642846), 157301.296)</f>
        <v>157301.296</v>
      </c>
      <c r="BQ284" s="68">
        <v>35.15784608981096</v>
      </c>
      <c r="BR284" s="68"/>
      <c r="BS284" s="68"/>
      <c r="BT284" s="68">
        <v>-7850912.1155018862</v>
      </c>
      <c r="BU284" s="68">
        <v>-45755.365943261422</v>
      </c>
      <c r="BV284" s="68">
        <f>IF($Z$3="yes", 0.405850070358429/$X284, 0.405850070358429)</f>
        <v>9.571935621661061E-2</v>
      </c>
      <c r="BW284" s="68">
        <f>IF($Z$3="yes", 0.559759994843461/$X284, 0.559759994843461)</f>
        <v>0.13201886670836344</v>
      </c>
      <c r="BX284" s="68">
        <f>$BW$77 - $BV$77</f>
        <v>5.3726781652488592E-2</v>
      </c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  <c r="CQ284" s="81"/>
      <c r="CR284" s="81"/>
      <c r="CS284" s="68"/>
      <c r="CT284" s="68"/>
      <c r="CU284" s="68"/>
    </row>
    <row r="285" spans="1:99" ht="15.75" customHeight="1" thickBot="1" x14ac:dyDescent="0.3">
      <c r="A285" s="84" t="s">
        <v>194</v>
      </c>
      <c r="B285" s="67" t="s">
        <v>128</v>
      </c>
      <c r="C285" s="83" t="s">
        <v>642</v>
      </c>
      <c r="D285" s="67" t="s">
        <v>643</v>
      </c>
      <c r="E285" s="67">
        <v>1</v>
      </c>
      <c r="F285" s="85">
        <v>3.14</v>
      </c>
      <c r="G285" s="313">
        <v>44186</v>
      </c>
      <c r="H285" s="317">
        <v>3.58</v>
      </c>
      <c r="I285" s="85">
        <v>13.14</v>
      </c>
      <c r="J285" s="313">
        <v>44244</v>
      </c>
      <c r="K285" s="201">
        <f t="shared" si="10"/>
        <v>0.14012738853503182</v>
      </c>
      <c r="L285" s="149">
        <f t="shared" si="11"/>
        <v>3.1847133757961785</v>
      </c>
      <c r="M285" s="312">
        <v>44407</v>
      </c>
      <c r="N285" s="68"/>
      <c r="O285" s="291">
        <v>9646931</v>
      </c>
      <c r="P285" s="291">
        <v>5530000</v>
      </c>
      <c r="Q285" s="291">
        <v>58</v>
      </c>
      <c r="R285" s="68" t="s">
        <v>152</v>
      </c>
      <c r="S285" s="68" t="s">
        <v>135</v>
      </c>
      <c r="T285" s="68" t="s">
        <v>193</v>
      </c>
      <c r="U285" s="68">
        <v>1548</v>
      </c>
      <c r="V285" s="68">
        <v>319468</v>
      </c>
      <c r="W285" s="68"/>
      <c r="X285" s="68">
        <v>3.25</v>
      </c>
      <c r="Y285" s="68">
        <v>2.2499519999999991</v>
      </c>
      <c r="Z285" s="68">
        <v>2.6701510000000011</v>
      </c>
      <c r="AA285" s="68">
        <v>2.722399999999999</v>
      </c>
      <c r="AB285" s="68">
        <v>2.566599999999998</v>
      </c>
      <c r="AC285" s="68">
        <v>2.874000000000001</v>
      </c>
      <c r="AD285" s="68">
        <v>2.9321428571428569</v>
      </c>
      <c r="AE285" s="68">
        <v>3.00875</v>
      </c>
      <c r="AF285" s="68">
        <f>IF($Z$3="yes", 0.0086441642541064/$X285, 0.0086441642541064)</f>
        <v>2.6597428474173538E-3</v>
      </c>
      <c r="AG285" s="68">
        <f>IF($Z$3="yes", -0.00149929132913293/$X285, -0.00149929132913293)</f>
        <v>-4.6132040896397844E-4</v>
      </c>
      <c r="AH285" s="68">
        <f>IF($Z$3="yes", 0.00649146698679532/$X285, 0.00649146698679532)</f>
        <v>1.9973744574754834E-3</v>
      </c>
      <c r="AI285" s="68">
        <f>IF($Z$3="yes", 0.00874308763505445/$X285, 0.00874308763505445)</f>
        <v>2.6901808107859847E-3</v>
      </c>
      <c r="AJ285" s="68">
        <f>IF($Z$3="yes", 0.0271428571428526/$X285, 0.0271428571428526)</f>
        <v>8.3516483516469543E-3</v>
      </c>
      <c r="AK285" s="68">
        <f>IF($Z$3="yes", 0.0421318681318717/$X285, 0.0421318681318717)</f>
        <v>1.2963651732883599E-2</v>
      </c>
      <c r="AL285" s="68">
        <f>IF($Z$3="yes", 0.102023809523792/$X285, 0.102023809523792)</f>
        <v>3.1391941391936004E-2</v>
      </c>
      <c r="AM285" s="68">
        <f>IF($Z$3="yes", 0.420199000000002/$X285, 0.420199000000002)</f>
        <v>0.1292920000000006</v>
      </c>
      <c r="AN285" s="68">
        <f>IF($Z$3="yes", 0.472448/$X285, 0.472448)</f>
        <v>0.14536861538461537</v>
      </c>
      <c r="AO285" s="68">
        <f>IF($Z$3="yes", 0.316647999999999/$X285, 0.316647999999999)</f>
        <v>9.7430153846153528E-2</v>
      </c>
      <c r="AP285" s="68">
        <f>IF($Z$3="yes", 0.624048000000002/$X285, 0.624048000000002)</f>
        <v>0.19201476923076985</v>
      </c>
      <c r="AQ285" s="68">
        <f>IF($Z$3="yes", 0.682190857142858/$X285, 0.682190857142858)</f>
        <v>0.20990487912087938</v>
      </c>
      <c r="AR285" s="68">
        <f>IF($Z$3="yes", 0.758798000000001/$X285, 0.758798000000001)</f>
        <v>0.23347630769230798</v>
      </c>
      <c r="AS285" s="68">
        <f>IF($Z$3="yes", 0.0522489999999979/$X285, 0.0522489999999979)</f>
        <v>1.6076615384614738E-2</v>
      </c>
      <c r="AT285" s="68">
        <f>IF($Z$3="yes", 0.103551000000002/$X285, 0.103551000000002)</f>
        <v>3.1861846153846768E-2</v>
      </c>
      <c r="AU285" s="88">
        <f>IF($Z$3="yes", 0.203849/$X285, 0.203849)</f>
        <v>6.2722769230769235E-2</v>
      </c>
      <c r="AV285" s="88">
        <f>IF($Z$3="yes", 0.261991857142856/$X285, 0.261991857142856)</f>
        <v>8.0612879120878764E-2</v>
      </c>
      <c r="AW285" s="88">
        <f>IF($Z$3="yes", 0.338598999999999/$X285, 0.338598999999999)</f>
        <v>0.10418430769230738</v>
      </c>
      <c r="AX285" s="88">
        <f>IF($Z$3="yes", 0.1558/$X285, 0.1558)</f>
        <v>4.7938461538461534E-2</v>
      </c>
      <c r="AY285" s="88">
        <f>IF($Z$3="yes", 0.307400000000002/$X285, 0.307400000000002)</f>
        <v>9.4584615384616003E-2</v>
      </c>
      <c r="AZ285" s="88">
        <f>IF($Z$3="yes", 0.365542857142858/$X285, 0.365542857142858)</f>
        <v>0.11247472527472555</v>
      </c>
      <c r="BA285" s="88">
        <f>IF($Z$3="yes", 0.442150000000002/$X285, 0.442150000000002)</f>
        <v>0.13604615384615446</v>
      </c>
      <c r="BB285" s="88">
        <f>IF($Z$3="yes", 0.151600000000002/$X285, 0.151600000000002)</f>
        <v>4.6646153846154462E-2</v>
      </c>
      <c r="BC285" s="88">
        <f>IF($Z$3="yes", 0.209742857142858/$X285, 0.209742857142858)</f>
        <v>6.4536263736264005E-2</v>
      </c>
      <c r="BD285" s="88">
        <f>IF($Z$3="yes", 0.286350000000001/$X285, 0.286350000000001)</f>
        <v>8.8107692307692609E-2</v>
      </c>
      <c r="BE285" s="88">
        <f>IF($Z$3="yes", 0.0581428571428563/$X285, 0.0581428571428563)</f>
        <v>1.7890109890109633E-2</v>
      </c>
      <c r="BF285" s="88">
        <f>IF($Z$3="yes", 0.134749999999999/$X285, 0.134749999999999)</f>
        <v>4.1461538461538154E-2</v>
      </c>
      <c r="BG285" s="88">
        <f>IF($Z$3="yes", 0.0766071428571431/$X285, 0.0766071428571431)</f>
        <v>2.3571428571428646E-2</v>
      </c>
      <c r="BH285" s="88">
        <f>IF($Z$3="yes", 0.546233489795919/$X285, 0.546233489795919)</f>
        <v>0.16807184301412892</v>
      </c>
      <c r="BI285" s="68"/>
      <c r="BJ285" s="68"/>
      <c r="BK285" s="68">
        <f>IF($BL$3="yes", MAX(0, (319468 - 1015980.8) / 804149.098008422), 1015980.8)</f>
        <v>1015980.8</v>
      </c>
      <c r="BL285" s="68">
        <f>IF($BL$3="yes", MAX(0, (319468 - 581405.4) / 716443.436511522), 581405.4)</f>
        <v>581405.4</v>
      </c>
      <c r="BM285" s="68">
        <f>IF($BL$3="yes", MAX(0, (319468 - 509964.55) / 539534.12769402), 509964.55)</f>
        <v>509964.55</v>
      </c>
      <c r="BN285" s="68">
        <f>IF($BL$3="yes", MAX(0, (319468 - 645202.3) / 1368241.6590694), 645202.3)</f>
        <v>645202.30000000005</v>
      </c>
      <c r="BO285" s="68">
        <f>IF($BL$3="yes", MAX(0, (319468 - 396394.14) / 1010920.12656566), 396394.14)</f>
        <v>396394.14</v>
      </c>
      <c r="BP285" s="68">
        <f>IF($BL$3="yes", MAX(0, (319468 - 336996.5875) / 1060141.5389579), 336996.5875)</f>
        <v>336996.58750000002</v>
      </c>
      <c r="BQ285" s="68">
        <v>58.933542176186592</v>
      </c>
      <c r="BR285" s="68"/>
      <c r="BS285" s="68"/>
      <c r="BT285" s="68">
        <v>-10233147.03145553</v>
      </c>
      <c r="BU285" s="68">
        <v>64379.415643202141</v>
      </c>
      <c r="BV285" s="68">
        <f>IF($Z$3="yes", 0.365536852162766/$X285, 0.365536852162766)</f>
        <v>0.11247287758854338</v>
      </c>
      <c r="BW285" s="68">
        <f>IF($Z$3="yes", 0.343362271180269/$X285, 0.343362271180269)</f>
        <v>0.10564992959392892</v>
      </c>
      <c r="BX285" s="68">
        <f>$BW$79 - $BV$79</f>
        <v>1.9460337916606729E-2</v>
      </c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  <c r="CQ285" s="81"/>
      <c r="CR285" s="81"/>
      <c r="CS285" s="68"/>
      <c r="CT285" s="68"/>
      <c r="CU285" s="68"/>
    </row>
    <row r="286" spans="1:99" ht="15.75" customHeight="1" thickBot="1" x14ac:dyDescent="0.3">
      <c r="A286" s="84" t="s">
        <v>194</v>
      </c>
      <c r="B286" s="67" t="s">
        <v>128</v>
      </c>
      <c r="C286" s="83" t="s">
        <v>642</v>
      </c>
      <c r="D286" s="67" t="s">
        <v>644</v>
      </c>
      <c r="E286" s="67">
        <v>1</v>
      </c>
      <c r="F286" s="85">
        <v>1.18</v>
      </c>
      <c r="G286" s="313">
        <v>44186</v>
      </c>
      <c r="H286" s="317">
        <v>1.1299999999999999</v>
      </c>
      <c r="I286" s="85">
        <v>3.5</v>
      </c>
      <c r="J286" s="313">
        <v>44224</v>
      </c>
      <c r="K286" s="122">
        <f t="shared" si="10"/>
        <v>-4.2372881355932202E-2</v>
      </c>
      <c r="L286" s="149">
        <f t="shared" si="11"/>
        <v>1.9661016949152543</v>
      </c>
      <c r="M286" s="312">
        <v>44407</v>
      </c>
      <c r="N286" s="68"/>
      <c r="O286" s="291">
        <v>79461603</v>
      </c>
      <c r="P286" s="291">
        <v>15660000</v>
      </c>
      <c r="Q286" s="291">
        <v>38</v>
      </c>
      <c r="R286" s="68" t="s">
        <v>131</v>
      </c>
      <c r="S286" s="68" t="s">
        <v>220</v>
      </c>
      <c r="T286" s="68" t="s">
        <v>546</v>
      </c>
      <c r="U286" s="68">
        <v>24</v>
      </c>
      <c r="V286" s="68">
        <v>68680</v>
      </c>
      <c r="W286" s="68"/>
      <c r="X286" s="68">
        <v>1.1499999999999999</v>
      </c>
      <c r="Y286" s="68">
        <v>1.053406499999999</v>
      </c>
      <c r="Z286" s="68">
        <v>1.2531209999999999</v>
      </c>
      <c r="AA286" s="68">
        <v>1.4399000000000011</v>
      </c>
      <c r="AB286" s="68">
        <v>1.5019000000000009</v>
      </c>
      <c r="AC286" s="68">
        <v>1.2789999999999979</v>
      </c>
      <c r="AD286" s="68">
        <v>1.237857142857143</v>
      </c>
      <c r="AE286" s="68">
        <v>1.1712499999999999</v>
      </c>
      <c r="AF286" s="68">
        <f>IF($Z$3="yes", 0.00367825988149708/$X286, 0.00367825988149708)</f>
        <v>3.1984868534757219E-3</v>
      </c>
      <c r="AG286" s="68">
        <f>IF($Z$3="yes", 0.00610764896489648/$X286, 0.00610764896489648)</f>
        <v>5.3109990999099825E-3</v>
      </c>
      <c r="AH286" s="68">
        <f>IF($Z$3="yes", -0.0114331332533015/$X286, -0.0114331332533015)</f>
        <v>-9.9418550028708697E-3</v>
      </c>
      <c r="AI286" s="68">
        <f>IF($Z$3="yes", -0.00542881152461003/$X286, -0.00542881152461003)</f>
        <v>-4.7207056735739401E-3</v>
      </c>
      <c r="AJ286" s="68">
        <f>IF($Z$3="yes", -0.0156691729323302/$X286, -0.0156691729323302)</f>
        <v>-1.3625367767243655E-2</v>
      </c>
      <c r="AK286" s="68">
        <f>IF($Z$3="yes", -0.0196703296703299/$X286, -0.0196703296703299)</f>
        <v>-1.7104634495939044E-2</v>
      </c>
      <c r="AL286" s="68">
        <f>IF($Z$3="yes", -0.0108333333333302/$X286, -0.0108333333333302)</f>
        <v>-9.4202898550697408E-3</v>
      </c>
      <c r="AM286" s="68">
        <f>IF($Z$3="yes", 0.1997145/$X286, 0.1997145)</f>
        <v>0.17366478260869567</v>
      </c>
      <c r="AN286" s="68">
        <f>IF($Z$3="yes", 0.386493500000001/$X286, 0.386493500000001)</f>
        <v>0.33608130434782696</v>
      </c>
      <c r="AO286" s="68">
        <f>IF($Z$3="yes", 0.448493500000001/$X286, 0.448493500000001)</f>
        <v>0.38999434782608783</v>
      </c>
      <c r="AP286" s="68">
        <f>IF($Z$3="yes", 0.225593499999998/$X286, 0.225593499999998)</f>
        <v>0.19616826086956349</v>
      </c>
      <c r="AQ286" s="68">
        <f>IF($Z$3="yes", 0.184450642857143/$X286, 0.184450642857143)</f>
        <v>0.16039186335403741</v>
      </c>
      <c r="AR286" s="68">
        <f>IF($Z$3="yes", 0.1178435/$X286, 0.1178435)</f>
        <v>0.10247260869565218</v>
      </c>
      <c r="AS286" s="68">
        <f>IF($Z$3="yes", 0.186779/$X286, 0.186779)</f>
        <v>0.16241652173913046</v>
      </c>
      <c r="AT286" s="68">
        <f>IF($Z$3="yes", 0.248779/$X286, 0.248779)</f>
        <v>0.21632956521739133</v>
      </c>
      <c r="AU286" s="88">
        <f>IF($Z$3="yes", 0.0258789999999973/$X286, 0.0258789999999973)</f>
        <v>2.2503478260867221E-2</v>
      </c>
      <c r="AV286" s="88">
        <f>IF($Z$3="yes", 0.0152638571428569/$X286, 0.0152638571428569)</f>
        <v>1.3272919254658176E-2</v>
      </c>
      <c r="AW286" s="88">
        <f>IF($Z$3="yes", 0.0818710000000007/$X286, 0.0818710000000007)</f>
        <v>7.1192173913044082E-2</v>
      </c>
      <c r="AX286" s="88">
        <f>IF($Z$3="yes", 0.062/$X286, 0.062)</f>
        <v>5.3913043478260876E-2</v>
      </c>
      <c r="AY286" s="88">
        <f>IF($Z$3="yes", 0.222900000000003/$X286, 0.222900000000003)</f>
        <v>0.19382608695652437</v>
      </c>
      <c r="AZ286" s="88">
        <f>IF($Z$3="yes", 0.264042857142857/$X286, 0.264042857142857)</f>
        <v>0.22960248447204962</v>
      </c>
      <c r="BA286" s="88">
        <f>IF($Z$3="yes", 0.330650000000001/$X286, 0.330650000000001)</f>
        <v>0.28752173913043566</v>
      </c>
      <c r="BB286" s="88">
        <f>IF($Z$3="yes", 0.160900000000003/$X286, 0.160900000000003)</f>
        <v>0.1399130434782635</v>
      </c>
      <c r="BC286" s="88">
        <f>IF($Z$3="yes", 0.202042857142857/$X286, 0.202042857142857)</f>
        <v>0.17568944099378869</v>
      </c>
      <c r="BD286" s="88">
        <f>IF($Z$3="yes", 0.268650000000001/$X286, 0.268650000000001)</f>
        <v>0.23360869565217479</v>
      </c>
      <c r="BE286" s="88">
        <f>IF($Z$3="yes", 0.0411428571428542/$X286, 0.0411428571428542)</f>
        <v>3.5776397515525395E-2</v>
      </c>
      <c r="BF286" s="88">
        <f>IF($Z$3="yes", 0.107749999999998/$X286, 0.107749999999998)</f>
        <v>9.3695652173911306E-2</v>
      </c>
      <c r="BG286" s="88">
        <f>IF($Z$3="yes", 0.0666071428571437/$X286, 0.0666071428571437)</f>
        <v>5.7919254658385828E-2</v>
      </c>
      <c r="BH286" s="88">
        <f>IF($Z$3="yes", 0.270035517006803/$X286, 0.270035517006803)</f>
        <v>0.23481349304939395</v>
      </c>
      <c r="BI286" s="68"/>
      <c r="BJ286" s="68"/>
      <c r="BK286" s="68">
        <f>IF($BL$3="yes", MAX(0, (68680 - 66514.2) / 17722.2893261564), 66514.2)</f>
        <v>66514.2</v>
      </c>
      <c r="BL286" s="68">
        <f>IF($BL$3="yes", MAX(0, (68680 - 148741.9) / 107712.753518281), 148741.9)</f>
        <v>148741.9</v>
      </c>
      <c r="BM286" s="68">
        <f>IF($BL$3="yes", MAX(0, (68680 - 157663.3) / 132937.439120098), 157663.3)</f>
        <v>157663.29999999999</v>
      </c>
      <c r="BN286" s="68">
        <f>IF($BL$3="yes", MAX(0, (68680 - 1039929.6) / 5411711.91928274), 1039929.6)</f>
        <v>1039929.6</v>
      </c>
      <c r="BO286" s="68">
        <f>IF($BL$3="yes", MAX(0, (68680 - 928601.32) / 4296748.79774477), 928601.32)</f>
        <v>928601.32</v>
      </c>
      <c r="BP286" s="68">
        <f>IF($BL$3="yes", MAX(0, (68680 - 494892.495) / 3069903.03085371), 494892.495)</f>
        <v>494892.495</v>
      </c>
      <c r="BQ286" s="68">
        <v>35.340943342627632</v>
      </c>
      <c r="BR286" s="68"/>
      <c r="BS286" s="68"/>
      <c r="BT286" s="68">
        <v>-28588093.600487791</v>
      </c>
      <c r="BU286" s="68">
        <v>-49531.866442337632</v>
      </c>
      <c r="BV286" s="68">
        <f>IF($Z$3="yes", 0.0847092433638161/$X286, 0.0847092433638161)</f>
        <v>7.3660211620709667E-2</v>
      </c>
      <c r="BW286" s="68">
        <f>IF($Z$3="yes", 0.176054550229657/$X286, 0.176054550229657)</f>
        <v>0.15309091324318</v>
      </c>
      <c r="BX286" s="68">
        <f>$BW$73 - $BV$73</f>
        <v>1.6717841910734957E-2</v>
      </c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  <c r="CO286" s="68"/>
      <c r="CP286" s="68"/>
      <c r="CQ286" s="81"/>
      <c r="CR286" s="81"/>
      <c r="CS286" s="68"/>
      <c r="CT286" s="68"/>
      <c r="CU286" s="68"/>
    </row>
    <row r="287" spans="1:99" ht="15.75" customHeight="1" thickBot="1" x14ac:dyDescent="0.3">
      <c r="A287" s="84" t="s">
        <v>205</v>
      </c>
      <c r="B287" s="67" t="s">
        <v>128</v>
      </c>
      <c r="C287" s="83" t="s">
        <v>642</v>
      </c>
      <c r="D287" s="67" t="s">
        <v>645</v>
      </c>
      <c r="E287" s="67">
        <v>1</v>
      </c>
      <c r="F287" s="85">
        <v>2.36</v>
      </c>
      <c r="G287" s="313">
        <v>44186</v>
      </c>
      <c r="H287" s="317">
        <v>8.77</v>
      </c>
      <c r="I287" s="85">
        <v>27.44</v>
      </c>
      <c r="J287" s="313">
        <v>44279</v>
      </c>
      <c r="K287" s="149">
        <f t="shared" si="10"/>
        <v>2.7161016949152543</v>
      </c>
      <c r="L287" s="149">
        <f t="shared" si="11"/>
        <v>10.627118644067798</v>
      </c>
      <c r="M287" s="312">
        <v>44407</v>
      </c>
      <c r="N287" s="68"/>
      <c r="O287" s="291">
        <v>31414465</v>
      </c>
      <c r="P287" s="291">
        <v>18840000</v>
      </c>
      <c r="Q287" s="291">
        <v>93</v>
      </c>
      <c r="R287" s="68" t="s">
        <v>131</v>
      </c>
      <c r="S287" s="68" t="s">
        <v>148</v>
      </c>
      <c r="T287" s="67" t="s">
        <v>646</v>
      </c>
      <c r="U287" s="68">
        <v>128</v>
      </c>
      <c r="V287" s="68">
        <v>394599</v>
      </c>
      <c r="W287" s="68"/>
      <c r="X287" s="68">
        <v>2.36</v>
      </c>
      <c r="Y287" s="68">
        <v>1.735017499999999</v>
      </c>
      <c r="Z287" s="68">
        <v>2.7443</v>
      </c>
      <c r="AA287" s="68">
        <v>3.0026999999999999</v>
      </c>
      <c r="AB287" s="68">
        <v>3.2117999999999989</v>
      </c>
      <c r="AC287" s="68">
        <v>2.3302500000000008</v>
      </c>
      <c r="AD287" s="68">
        <v>2.4189285714285709</v>
      </c>
      <c r="AE287" s="68">
        <v>2.317499999999999</v>
      </c>
      <c r="AF287" s="68">
        <f>IF($Z$3="yes", 0.0163736099152479/$X287, 0.0163736099152479)</f>
        <v>6.9379703030711445E-3</v>
      </c>
      <c r="AG287" s="68">
        <f>IF($Z$3="yes", 0.00575577557755778/$X287, 0.00575577557755778)</f>
        <v>2.4388879565922796E-3</v>
      </c>
      <c r="AH287" s="68">
        <f>IF($Z$3="yes", -0.0458076830732291/$X287, -0.0458076830732291)</f>
        <v>-1.9410035200520804E-2</v>
      </c>
      <c r="AI287" s="68">
        <f>IF($Z$3="yes", -0.0338689075630249/$X287, -0.0338689075630249)</f>
        <v>-1.4351232018230891E-2</v>
      </c>
      <c r="AJ287" s="68">
        <f>IF($Z$3="yes", 0.0106428571428554/$X287, 0.0106428571428554)</f>
        <v>4.5096852300234745E-3</v>
      </c>
      <c r="AK287" s="68">
        <f>IF($Z$3="yes", -0.0244285714285718/$X287, -0.0244285714285718)</f>
        <v>-1.0351089588377882E-2</v>
      </c>
      <c r="AL287" s="68">
        <f>IF($Z$3="yes", 0.0114285714285877/$X287, 0.0114285714285877)</f>
        <v>4.8426150121134324E-3</v>
      </c>
      <c r="AM287" s="68">
        <f>IF($Z$3="yes", 1.0092825/$X287, 1.0092825)</f>
        <v>0.42766207627118652</v>
      </c>
      <c r="AN287" s="68">
        <f>IF($Z$3="yes", 1.2676825/$X287, 1.2676825)</f>
        <v>0.53715360169491533</v>
      </c>
      <c r="AO287" s="68">
        <f>IF($Z$3="yes", 1.47678249999999/$X287, 1.47678249999999)</f>
        <v>0.62575529661016527</v>
      </c>
      <c r="AP287" s="68">
        <f>IF($Z$3="yes", 0.595232500000001/$X287, 0.595232500000001)</f>
        <v>0.25221716101694963</v>
      </c>
      <c r="AQ287" s="68">
        <f>IF($Z$3="yes", 0.683911071428571/$X287, 0.683911071428571)</f>
        <v>0.28979282687651314</v>
      </c>
      <c r="AR287" s="68">
        <f>IF($Z$3="yes", 0.5824825/$X287, 0.5824825)</f>
        <v>0.24681461864406781</v>
      </c>
      <c r="AS287" s="68">
        <f>IF($Z$3="yes", 0.2584/$X287, 0.2584)</f>
        <v>0.10949152542372882</v>
      </c>
      <c r="AT287" s="68">
        <f>IF($Z$3="yes", 0.467499999999999/$X287, 0.467499999999999)</f>
        <v>0.19809322033898266</v>
      </c>
      <c r="AU287" s="88">
        <f>IF($Z$3="yes", 0.414049999999998/$X287, 0.414049999999998)</f>
        <v>0.17544491525423644</v>
      </c>
      <c r="AV287" s="88">
        <f>IF($Z$3="yes", 0.325371428571428/$X287, 0.325371428571428)</f>
        <v>0.13786924939467288</v>
      </c>
      <c r="AW287" s="88">
        <f>IF($Z$3="yes", 0.4268/$X287, 0.4268)</f>
        <v>0.18084745762711865</v>
      </c>
      <c r="AX287" s="88">
        <f>IF($Z$3="yes", 0.209099999999998/$X287, 0.209099999999998)</f>
        <v>8.8601694915253396E-2</v>
      </c>
      <c r="AY287" s="88">
        <f>IF($Z$3="yes", 0.881549999999998/$X287, 0.881549999999998)</f>
        <v>0.37353813559321947</v>
      </c>
      <c r="AZ287" s="88">
        <f>IF($Z$3="yes", 0.792871428571427/$X287, 0.792871428571427)</f>
        <v>0.33596246973365551</v>
      </c>
      <c r="BA287" s="88">
        <f>IF($Z$3="yes", 0.894299999999999/$X287, 0.894299999999999)</f>
        <v>0.37894067796610126</v>
      </c>
      <c r="BB287" s="88">
        <f>IF($Z$3="yes", 0.672449999999999/$X287, 0.672449999999999)</f>
        <v>0.2849364406779657</v>
      </c>
      <c r="BC287" s="88">
        <f>IF($Z$3="yes", 0.583771428571428/$X287, 0.583771428571428)</f>
        <v>0.24736077481840174</v>
      </c>
      <c r="BD287" s="88">
        <f>IF($Z$3="yes", 0.6852/$X287, 0.6852)</f>
        <v>0.29033898305084749</v>
      </c>
      <c r="BE287" s="88">
        <f>IF($Z$3="yes", 0.0886785714285705/$X287, 0.0886785714285705)</f>
        <v>3.7575665859563769E-2</v>
      </c>
      <c r="BF287" s="88">
        <f>IF($Z$3="yes", 0.0127500000000013/$X287, 0.0127500000000013)</f>
        <v>5.4025423728819074E-3</v>
      </c>
      <c r="BG287" s="88">
        <f>IF($Z$3="yes", 0.101428571428571/$X287, 0.101428571428571)</f>
        <v>4.2978208232445338E-2</v>
      </c>
      <c r="BH287" s="88">
        <f>IF($Z$3="yes", 0.709002789115646/$X287, 0.709002789115646)</f>
        <v>0.30042491064222288</v>
      </c>
      <c r="BI287" s="68"/>
      <c r="BJ287" s="68"/>
      <c r="BK287" s="68">
        <f>IF($BL$3="yes", MAX(0, (394599 - 342639.6) / 81864.549909225), 342639.6)</f>
        <v>342639.6</v>
      </c>
      <c r="BL287" s="68">
        <f>IF($BL$3="yes", MAX(0, (394599 - 450443.4) / 246367.254137882), 450443.4)</f>
        <v>450443.4</v>
      </c>
      <c r="BM287" s="68">
        <f>IF($BL$3="yes", MAX(0, (394599 - 1473784.5) / 3118271.48003671), 1473784.5)</f>
        <v>1473784.5</v>
      </c>
      <c r="BN287" s="68">
        <f>IF($BL$3="yes", MAX(0, (394599 - 1419324.48) / 2186165.79508177), 1419324.48)</f>
        <v>1419324.48</v>
      </c>
      <c r="BO287" s="68">
        <f>IF($BL$3="yes", MAX(0, (394599 - 2122475.6) / 3958627.40074604), 2122475.6)</f>
        <v>2122475.6</v>
      </c>
      <c r="BP287" s="68">
        <f>IF($BL$3="yes", MAX(0, (394599 - 1430445.395) / 4210864.62207637), 1430445.395)</f>
        <v>1430445.395</v>
      </c>
      <c r="BQ287" s="68">
        <v>46.078393246039411</v>
      </c>
      <c r="BR287" s="68"/>
      <c r="BS287" s="68"/>
      <c r="BT287" s="68">
        <v>-19912442.87072004</v>
      </c>
      <c r="BU287" s="68">
        <v>-217603.7277245484</v>
      </c>
      <c r="BV287" s="68">
        <f>IF($Z$3="yes", 0.266538534953938/$X287, 0.266538534953938)</f>
        <v>0.11294005718387203</v>
      </c>
      <c r="BW287" s="68">
        <f>IF($Z$3="yes", 0.405336533663751/$X287, 0.405336533663751)</f>
        <v>0.17175276850158941</v>
      </c>
      <c r="BX287" s="68">
        <f>$BW$74 - $BV$74</f>
        <v>1.6214844778280321E-2</v>
      </c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  <c r="CQ287" s="81"/>
      <c r="CR287" s="81"/>
      <c r="CS287" s="68"/>
      <c r="CT287" s="68"/>
      <c r="CU287" s="68"/>
    </row>
    <row r="288" spans="1:99" ht="15.75" customHeight="1" thickBot="1" x14ac:dyDescent="0.3">
      <c r="A288" s="84" t="s">
        <v>194</v>
      </c>
      <c r="B288" s="67" t="s">
        <v>128</v>
      </c>
      <c r="C288" s="83" t="s">
        <v>642</v>
      </c>
      <c r="D288" s="67" t="s">
        <v>571</v>
      </c>
      <c r="E288" s="67">
        <v>1</v>
      </c>
      <c r="F288" s="85">
        <v>2.19</v>
      </c>
      <c r="G288" s="313">
        <v>44186</v>
      </c>
      <c r="H288" s="317">
        <v>1.98</v>
      </c>
      <c r="I288" s="85">
        <v>6.3</v>
      </c>
      <c r="J288" s="313">
        <v>44245</v>
      </c>
      <c r="K288" s="258">
        <f t="shared" si="10"/>
        <v>-9.5890410958904049E-2</v>
      </c>
      <c r="L288" s="149">
        <f t="shared" si="11"/>
        <v>1.8767123287671232</v>
      </c>
      <c r="M288" s="312">
        <v>44407</v>
      </c>
      <c r="N288" s="68"/>
      <c r="O288" s="291">
        <v>27191830</v>
      </c>
      <c r="P288" s="291">
        <v>25130000</v>
      </c>
      <c r="Q288" s="291">
        <v>59</v>
      </c>
      <c r="R288" s="68" t="s">
        <v>211</v>
      </c>
      <c r="S288" s="68" t="s">
        <v>281</v>
      </c>
      <c r="T288" s="68" t="s">
        <v>488</v>
      </c>
      <c r="U288" s="68">
        <v>76</v>
      </c>
      <c r="V288" s="68">
        <v>85385</v>
      </c>
      <c r="W288" s="68"/>
      <c r="X288" s="68">
        <v>2.13</v>
      </c>
      <c r="Y288" s="68" t="e">
        <v>#N/A</v>
      </c>
      <c r="Z288" s="68">
        <v>2.6457439999999992</v>
      </c>
      <c r="AA288" s="68">
        <v>2.4408919999999998</v>
      </c>
      <c r="AB288" s="68">
        <v>2.4411000000000009</v>
      </c>
      <c r="AC288" s="68">
        <v>2.3952300000000011</v>
      </c>
      <c r="AD288" s="68">
        <v>2.2746142857142879</v>
      </c>
      <c r="AE288" s="68">
        <v>2.229999999999996</v>
      </c>
      <c r="AF288" s="68" t="e">
        <f>IF($Z$3="yes", #N/A/$X288, #N/A)</f>
        <v>#N/A</v>
      </c>
      <c r="AG288" s="68">
        <f>IF($Z$3="yes", -0.0116630519051903/$X288, -0.0116630519051903)</f>
        <v>-5.4756112230940381E-3</v>
      </c>
      <c r="AH288" s="68">
        <f>IF($Z$3="yes", -0.00570263625450224/$X288, -0.00570263625450224)</f>
        <v>-2.6772940161982348E-3</v>
      </c>
      <c r="AI288" s="68">
        <f>IF($Z$3="yes", 0.00464561824729841/$X288, 0.00464561824729841)</f>
        <v>2.1810414306565307E-3</v>
      </c>
      <c r="AJ288" s="68">
        <f>IF($Z$3="yes", -0.0329739849624071/$X288, -0.0329739849624071)</f>
        <v>-1.5480744113806153E-2</v>
      </c>
      <c r="AK288" s="68">
        <f>IF($Z$3="yes", -0.0169296703296715/$X288, -0.0169296703296715)</f>
        <v>-7.9482020327096246E-3</v>
      </c>
      <c r="AL288" s="68">
        <f>IF($Z$3="yes", -0.00833333333330071/$X288, -0.00833333333330071)</f>
        <v>-3.912363067277329E-3</v>
      </c>
      <c r="AM288" s="68"/>
      <c r="AN288" s="68"/>
      <c r="AO288" s="68"/>
      <c r="AP288" s="68"/>
      <c r="AQ288" s="68"/>
      <c r="AR288" s="68"/>
      <c r="AS288" s="68">
        <f>IF($Z$3="yes", 0.204851999999998/$X288, 0.204851999999998)</f>
        <v>9.6174647887323009E-2</v>
      </c>
      <c r="AT288" s="68">
        <f>IF($Z$3="yes", 0.204643999999997/$X288, 0.204643999999997)</f>
        <v>9.6076995305162907E-2</v>
      </c>
      <c r="AU288" s="88">
        <f>IF($Z$3="yes", 0.250513999999998/$X288, 0.250513999999998)</f>
        <v>0.11761220657276902</v>
      </c>
      <c r="AV288" s="88">
        <f>IF($Z$3="yes", 0.37112971428571/$X288, 0.37112971428571)</f>
        <v>0.174239302481554</v>
      </c>
      <c r="AW288" s="88">
        <f>IF($Z$3="yes", 0.415744000000002/$X288, 0.415744000000002)</f>
        <v>0.19518497652582253</v>
      </c>
      <c r="AX288" s="88">
        <f>IF($Z$3="yes", 0.000208000000000652/$X288, 0.000208000000000652)</f>
        <v>9.7652582159930525E-5</v>
      </c>
      <c r="AY288" s="88">
        <f>IF($Z$3="yes", 0.0458700000000003/$X288, 0.0458700000000003)</f>
        <v>2.1535211267605776E-2</v>
      </c>
      <c r="AZ288" s="88">
        <f>IF($Z$3="yes", 0.166485714285713/$X288, 0.166485714285713)</f>
        <v>7.8162307176391083E-2</v>
      </c>
      <c r="BA288" s="88">
        <f>IF($Z$3="yes", 0.211100000000004/$X288, 0.211100000000004)</f>
        <v>9.9107981220659169E-2</v>
      </c>
      <c r="BB288" s="88">
        <f>IF($Z$3="yes", 0.0456619999999996/$X288, 0.0456619999999996)</f>
        <v>2.1437558685445821E-2</v>
      </c>
      <c r="BC288" s="88">
        <f>IF($Z$3="yes", 0.166277714285712/$X288, 0.166277714285712)</f>
        <v>7.8064654594230995E-2</v>
      </c>
      <c r="BD288" s="88">
        <f>IF($Z$3="yes", 0.210892000000004/$X288, 0.210892000000004)</f>
        <v>9.9010328638499526E-2</v>
      </c>
      <c r="BE288" s="88">
        <f>IF($Z$3="yes", 0.120615714285712/$X288, 0.120615714285712)</f>
        <v>5.662709590878498E-2</v>
      </c>
      <c r="BF288" s="88">
        <f>IF($Z$3="yes", 0.165230000000004/$X288, 0.165230000000004)</f>
        <v>7.7572769953053525E-2</v>
      </c>
      <c r="BG288" s="88">
        <f>IF($Z$3="yes", 0.0446142857142919/$X288, 0.0446142857142919)</f>
        <v>2.09456740442685E-2</v>
      </c>
      <c r="BH288" s="88">
        <f>IF($Z$3="yes", 0.339450163265306/$X288, 0.339450163265306)</f>
        <v>0.15936627383347701</v>
      </c>
      <c r="BI288" s="68"/>
      <c r="BJ288" s="68"/>
      <c r="BK288" s="68">
        <f>IF($BL$3="yes", MAX(0, (85385 - 137580.4) / 51010.8790420239), 137580.4)</f>
        <v>137580.4</v>
      </c>
      <c r="BL288" s="68">
        <f>IF($BL$3="yes", MAX(0, (85385 - 129002.2) / 106062.470340644), 129002.2)</f>
        <v>129002.2</v>
      </c>
      <c r="BM288" s="68">
        <f>IF($BL$3="yes", MAX(0, (85385 - 146830.8) / 156662.261396483), 146830.8)</f>
        <v>146830.79999999999</v>
      </c>
      <c r="BN288" s="68">
        <f>IF($BL$3="yes", MAX(0, (85385 - 109793.26) / 142569.790474393), 109793.26)</f>
        <v>109793.26</v>
      </c>
      <c r="BO288" s="68">
        <f>IF($BL$3="yes", MAX(0, (85385 - 108757.05) / 124296.588097934), 108757.05)</f>
        <v>108757.05</v>
      </c>
      <c r="BP288" s="68">
        <f>IF($BL$3="yes", MAX(0, (85385 - 397206.648854961) / 2316911.44392765), 397206.648854961)</f>
        <v>397206.64885496098</v>
      </c>
      <c r="BQ288" s="68">
        <v>39.615931028535023</v>
      </c>
      <c r="BR288" s="68"/>
      <c r="BS288" s="68"/>
      <c r="BT288" s="68">
        <v>-25118990.229652889</v>
      </c>
      <c r="BU288" s="68">
        <v>-11071.60380439833</v>
      </c>
      <c r="BV288" s="68">
        <f>IF($Z$3="yes", 0.197380230303627/$X288, 0.197380230303627)</f>
        <v>9.2666774790435211E-2</v>
      </c>
      <c r="BW288" s="68">
        <f>IF($Z$3="yes", 0.250478915949201/$X288, 0.250478915949201)</f>
        <v>0.11759573518741832</v>
      </c>
      <c r="BX288" s="68">
        <f>$BW$78 - $BV$78</f>
        <v>-2.3285066384237385E-3</v>
      </c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  <c r="CO288" s="68"/>
      <c r="CP288" s="68"/>
      <c r="CQ288" s="81"/>
      <c r="CR288" s="81"/>
      <c r="CS288" s="68"/>
      <c r="CT288" s="68"/>
      <c r="CU288" s="68"/>
    </row>
    <row r="289" spans="1:99" ht="15.75" customHeight="1" thickBot="1" x14ac:dyDescent="0.3">
      <c r="A289" s="84"/>
      <c r="B289" s="67" t="s">
        <v>128</v>
      </c>
      <c r="C289" s="83" t="s">
        <v>642</v>
      </c>
      <c r="D289" s="67" t="s">
        <v>647</v>
      </c>
      <c r="E289" s="67">
        <v>1</v>
      </c>
      <c r="F289" s="85">
        <v>1.93</v>
      </c>
      <c r="G289" s="313">
        <v>44186</v>
      </c>
      <c r="H289" s="317">
        <v>2.0299999999999998</v>
      </c>
      <c r="I289" s="85">
        <v>5</v>
      </c>
      <c r="J289" s="313">
        <v>44232</v>
      </c>
      <c r="K289" s="187">
        <f t="shared" si="10"/>
        <v>5.1813471502590636E-2</v>
      </c>
      <c r="L289" s="236">
        <f t="shared" si="11"/>
        <v>1.5906735751295336</v>
      </c>
      <c r="M289" s="312">
        <v>44407</v>
      </c>
      <c r="N289" s="68"/>
      <c r="O289" s="291">
        <v>44560490</v>
      </c>
      <c r="P289" s="291">
        <v>40020000</v>
      </c>
      <c r="Q289" s="291">
        <v>46</v>
      </c>
      <c r="R289" s="68" t="s">
        <v>152</v>
      </c>
      <c r="S289" s="68" t="s">
        <v>135</v>
      </c>
      <c r="T289" s="68" t="s">
        <v>133</v>
      </c>
      <c r="U289" s="68">
        <v>0</v>
      </c>
      <c r="V289" s="68">
        <v>316548</v>
      </c>
      <c r="W289" s="68"/>
      <c r="X289" s="68">
        <v>1.97</v>
      </c>
      <c r="Y289" s="68">
        <v>2.1830500000000019</v>
      </c>
      <c r="Z289" s="68">
        <v>2.0475999999999992</v>
      </c>
      <c r="AA289" s="68">
        <v>1.997400000000001</v>
      </c>
      <c r="AB289" s="68">
        <v>1.9896000000000009</v>
      </c>
      <c r="AC289" s="68">
        <v>2.057500000000001</v>
      </c>
      <c r="AD289" s="68">
        <v>2.0542857142857129</v>
      </c>
      <c r="AE289" s="68">
        <v>2.0075000000000021</v>
      </c>
      <c r="AF289" s="68">
        <f>IF($Z$3="yes", -0.00177347183679598/$X289, -0.00177347183679598)</f>
        <v>-9.0023951106394924E-4</v>
      </c>
      <c r="AG289" s="68">
        <f>IF($Z$3="yes", -0.00257941794179408/$X289, -0.00257941794179408)</f>
        <v>-1.3093492090325278E-3</v>
      </c>
      <c r="AH289" s="68">
        <f>IF($Z$3="yes", 0.0023466986794715/$X289, 0.0023466986794715)</f>
        <v>1.1912176037926394E-3</v>
      </c>
      <c r="AI289" s="68">
        <f>IF($Z$3="yes", 0.00195054021608621/$X289, 0.00195054021608621)</f>
        <v>9.9012193709959893E-4</v>
      </c>
      <c r="AJ289" s="68">
        <f>IF($Z$3="yes", -0.0049548872180444/$X289, -0.0049548872180444)</f>
        <v>-2.5151711766722845E-3</v>
      </c>
      <c r="AK289" s="68">
        <f>IF($Z$3="yes", -0.0148571428571359/$X289, -0.0148571428571359)</f>
        <v>-7.5416968817948737E-3</v>
      </c>
      <c r="AL289" s="68">
        <f>IF($Z$3="yes", -0.0154761904761669/$X289, -0.0154761904761669)</f>
        <v>-7.8559342518613705E-3</v>
      </c>
      <c r="AM289" s="68">
        <f>IF($Z$3="yes", 0.135450000000003/$X289, 0.135450000000003)</f>
        <v>6.8756345177666503E-2</v>
      </c>
      <c r="AN289" s="68">
        <f>IF($Z$3="yes", 0.185650000000001/$X289, 0.185650000000001)</f>
        <v>9.4238578680203564E-2</v>
      </c>
      <c r="AO289" s="68">
        <f>IF($Z$3="yes", 0.193450000000001/$X289, 0.193450000000001)</f>
        <v>9.8197969543147717E-2</v>
      </c>
      <c r="AP289" s="68">
        <f>IF($Z$3="yes", 0.125550000000001/$X289, 0.125550000000001)</f>
        <v>6.3730964467005588E-2</v>
      </c>
      <c r="AQ289" s="68">
        <f>IF($Z$3="yes", 0.128764285714289/$X289, 0.128764285714289)</f>
        <v>6.5362581580857365E-2</v>
      </c>
      <c r="AR289" s="68">
        <f>IF($Z$3="yes", 0.17555/$X289, 0.17555)</f>
        <v>8.9111675126903558E-2</v>
      </c>
      <c r="AS289" s="68">
        <f>IF($Z$3="yes", 0.050199999999998/$X289, 0.050199999999998)</f>
        <v>2.5482233502537057E-2</v>
      </c>
      <c r="AT289" s="68">
        <f>IF($Z$3="yes", 0.0579999999999978/$X289, 0.0579999999999978)</f>
        <v>2.9441624365481117E-2</v>
      </c>
      <c r="AU289" s="88">
        <f>IF($Z$3="yes", 0.00990000000000179/$X289, 0.00990000000000179)</f>
        <v>5.0253807106608065E-3</v>
      </c>
      <c r="AV289" s="88">
        <f>IF($Z$3="yes", 0.00668571428571462/$X289, 0.00668571428571462)</f>
        <v>3.3937635968094518E-3</v>
      </c>
      <c r="AW289" s="88">
        <f>IF($Z$3="yes", 0.0400999999999971/$X289, 0.0400999999999971)</f>
        <v>2.0355329949237107E-2</v>
      </c>
      <c r="AX289" s="88">
        <f>IF($Z$3="yes", 0.0077999999999998/$X289, 0.0077999999999998)</f>
        <v>3.959390862944061E-3</v>
      </c>
      <c r="AY289" s="88">
        <f>IF($Z$3="yes", 0.0678999999999996/$X289, 0.0678999999999996)</f>
        <v>3.4467005076141928E-2</v>
      </c>
      <c r="AZ289" s="88">
        <f>IF($Z$3="yes", 0.0646857142857124/$X289, 0.0646857142857124)</f>
        <v>3.283538796229056E-2</v>
      </c>
      <c r="BA289" s="88">
        <f>IF($Z$3="yes", 0.0179000000000006/$X289, 0.0179000000000006)</f>
        <v>9.0862944162439594E-3</v>
      </c>
      <c r="BB289" s="88">
        <f>IF($Z$3="yes", 0.0600999999999998/$X289, 0.0600999999999998)</f>
        <v>3.0507614213197868E-2</v>
      </c>
      <c r="BC289" s="88">
        <f>IF($Z$3="yes", 0.0568857142857126/$X289, 0.0568857142857126)</f>
        <v>2.88759970993465E-2</v>
      </c>
      <c r="BD289" s="88">
        <f>IF($Z$3="yes", 0.0101000000000008/$X289, 0.0101000000000008)</f>
        <v>5.1269035532998984E-3</v>
      </c>
      <c r="BE289" s="88">
        <f>IF($Z$3="yes", 0.00321428571428716/$X289, 0.00321428571428716)</f>
        <v>1.6316171138513504E-3</v>
      </c>
      <c r="BF289" s="88">
        <f>IF($Z$3="yes", 0.0499999999999989/$X289, 0.0499999999999989)</f>
        <v>2.5380710659897918E-2</v>
      </c>
      <c r="BG289" s="88">
        <f>IF($Z$3="yes", 0.0467857142857117/$X289, 0.0467857142857117)</f>
        <v>2.3749093546046551E-2</v>
      </c>
      <c r="BH289" s="88">
        <f>IF($Z$3="yes", 0.249302721088435/$X289, 0.249302721088435)</f>
        <v>0.12654960461341877</v>
      </c>
      <c r="BI289" s="68"/>
      <c r="BJ289" s="68"/>
      <c r="BK289" s="68">
        <f>IF($BL$3="yes", MAX(0, (316548 - 433211.4) / 127419.012539887), 433211.4)</f>
        <v>433211.4</v>
      </c>
      <c r="BL289" s="68">
        <f>IF($BL$3="yes", MAX(0, (316548 - 368976.6) / 139565.916452549), 368976.6)</f>
        <v>368976.6</v>
      </c>
      <c r="BM289" s="68">
        <f>IF($BL$3="yes", MAX(0, (316548 - 641873.1) / 670510.283868331), 641873.1)</f>
        <v>641873.1</v>
      </c>
      <c r="BN289" s="68">
        <f>IF($BL$3="yes", MAX(0, (316548 - 366627.42) / 487295.546146487), 366627.42)</f>
        <v>366627.42</v>
      </c>
      <c r="BO289" s="68">
        <f>IF($BL$3="yes", MAX(0, (316548 - 327159.92) / 377470.153269279), 327159.92)</f>
        <v>327159.92</v>
      </c>
      <c r="BP289" s="68">
        <f>IF($BL$3="yes", MAX(0, (316548 - 568445.51) / 980355.683428004), 568445.51)</f>
        <v>568445.51</v>
      </c>
      <c r="BQ289" s="68">
        <v>46.746613546255958</v>
      </c>
      <c r="BR289" s="68"/>
      <c r="BS289" s="68"/>
      <c r="BT289" s="68">
        <v>-605519.75271507376</v>
      </c>
      <c r="BU289" s="68">
        <v>-206596.51312313351</v>
      </c>
      <c r="BV289" s="68">
        <f>IF($Z$3="yes", 0.115834292273795/$X289, 0.115834292273795)</f>
        <v>5.8799133133906098E-2</v>
      </c>
      <c r="BW289" s="68">
        <f>IF($Z$3="yes", 0.101009635036883/$X289, 0.101009635036883)</f>
        <v>5.1273926414661421E-2</v>
      </c>
      <c r="BX289" s="68">
        <f>$BW$75 - $BV$75</f>
        <v>2.3815852696649403E-2</v>
      </c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  <c r="CQ289" s="81"/>
      <c r="CR289" s="81"/>
      <c r="CS289" s="68"/>
      <c r="CT289" s="68"/>
      <c r="CU289" s="68"/>
    </row>
    <row r="290" spans="1:99" ht="15.75" customHeight="1" thickBot="1" x14ac:dyDescent="0.3">
      <c r="A290" s="84" t="s">
        <v>648</v>
      </c>
      <c r="B290" s="67" t="s">
        <v>128</v>
      </c>
      <c r="C290" s="83" t="s">
        <v>642</v>
      </c>
      <c r="D290" s="67" t="s">
        <v>649</v>
      </c>
      <c r="E290" s="67">
        <v>1</v>
      </c>
      <c r="F290" s="85">
        <v>0.57999999999999996</v>
      </c>
      <c r="G290" s="313">
        <v>44186</v>
      </c>
      <c r="H290" s="317">
        <v>5.93</v>
      </c>
      <c r="I290" s="85">
        <v>15.69</v>
      </c>
      <c r="J290" s="313">
        <v>44243</v>
      </c>
      <c r="K290" s="149">
        <f t="shared" si="10"/>
        <v>9.2241379310344822</v>
      </c>
      <c r="L290" s="149">
        <f t="shared" si="11"/>
        <v>26.051724137931036</v>
      </c>
      <c r="M290" s="312">
        <v>44407</v>
      </c>
      <c r="N290" s="68"/>
      <c r="O290" s="291">
        <v>278849616</v>
      </c>
      <c r="P290" s="291">
        <v>275800000</v>
      </c>
      <c r="Q290" s="291">
        <v>57</v>
      </c>
      <c r="R290" s="68" t="s">
        <v>131</v>
      </c>
      <c r="S290" s="68" t="s">
        <v>157</v>
      </c>
      <c r="T290" s="68" t="s">
        <v>217</v>
      </c>
      <c r="U290" s="68">
        <v>1212</v>
      </c>
      <c r="V290" s="68">
        <v>15022464</v>
      </c>
      <c r="W290" s="68"/>
      <c r="X290" s="68">
        <v>0.55930000000000002</v>
      </c>
      <c r="Y290" s="68">
        <v>0.52855299999999883</v>
      </c>
      <c r="Z290" s="68">
        <v>0.58399600000000007</v>
      </c>
      <c r="AA290" s="68">
        <v>0.52236800000000028</v>
      </c>
      <c r="AB290" s="68">
        <v>0.54195000000000026</v>
      </c>
      <c r="AC290" s="68">
        <v>0.5076499999999996</v>
      </c>
      <c r="AD290" s="68">
        <v>0.51347142857142847</v>
      </c>
      <c r="AE290" s="68">
        <v>0.51832500000000048</v>
      </c>
      <c r="AF290" s="68">
        <f>IF($Z$3="yes", 0.00086689312232812/$X290, 0.00086689312232812)</f>
        <v>1.5499608838335775E-3</v>
      </c>
      <c r="AG290" s="68">
        <f>IF($Z$3="yes", -0.00250433003300331/$X290, -0.00250433003300331)</f>
        <v>-4.4776149347457717E-3</v>
      </c>
      <c r="AH290" s="68">
        <f>IF($Z$3="yes", -0.00105546218487415/$X290, -0.00105546218487415)</f>
        <v>-1.8871127925516715E-3</v>
      </c>
      <c r="AI290" s="68">
        <f>IF($Z$3="yes", -0.00272166626650675/$X290, -0.00272166626650675)</f>
        <v>-4.8662010844032714E-3</v>
      </c>
      <c r="AJ290" s="68">
        <f>IF($Z$3="yes", 0.0023400000000006/$X290, 0.0023400000000006)</f>
        <v>4.1838011800475593E-3</v>
      </c>
      <c r="AK290" s="68">
        <f>IF($Z$3="yes", 0.00323868131868321/$X290, 0.00323868131868321)</f>
        <v>5.7905977448296257E-3</v>
      </c>
      <c r="AL290" s="68">
        <f>IF($Z$3="yes", 0.0090166666666591/$X290, 0.0090166666666591)</f>
        <v>1.6121342153869303E-2</v>
      </c>
      <c r="AM290" s="68">
        <f>IF($Z$3="yes", 0.0554430000000012/$X290, 0.0554430000000012)</f>
        <v>9.9129268728770245E-2</v>
      </c>
      <c r="AN290" s="68">
        <f>IF($Z$3="yes", 0.00618499999999855/$X290, 0.00618499999999855)</f>
        <v>1.1058465939564723E-2</v>
      </c>
      <c r="AO290" s="68">
        <f>IF($Z$3="yes", 0.0133970000000014/$X290, 0.0133970000000014)</f>
        <v>2.395315573037976E-2</v>
      </c>
      <c r="AP290" s="68">
        <f>IF($Z$3="yes", 0.0209029999999992/$X290, 0.0209029999999992)</f>
        <v>3.7373502592524942E-2</v>
      </c>
      <c r="AQ290" s="68">
        <f>IF($Z$3="yes", 0.0150815714285703/$X290, 0.0150815714285703)</f>
        <v>2.6965083905900765E-2</v>
      </c>
      <c r="AR290" s="68">
        <f>IF($Z$3="yes", 0.0102279999999983/$X290, 0.0102279999999983)</f>
        <v>1.8287144645089039E-2</v>
      </c>
      <c r="AS290" s="68">
        <f>IF($Z$3="yes", 0.0616279999999997/$X290, 0.0616279999999997)</f>
        <v>0.11018773466833487</v>
      </c>
      <c r="AT290" s="68">
        <f>IF($Z$3="yes", 0.0420459999999998/$X290, 0.0420459999999998)</f>
        <v>7.5176112998390485E-2</v>
      </c>
      <c r="AU290" s="88">
        <f>IF($Z$3="yes", 0.0763460000000004/$X290, 0.0763460000000004)</f>
        <v>0.13650277132129518</v>
      </c>
      <c r="AV290" s="88">
        <f>IF($Z$3="yes", 0.0705245714285716/$X290, 0.0705245714285716)</f>
        <v>0.1260943526346712</v>
      </c>
      <c r="AW290" s="88">
        <f>IF($Z$3="yes", 0.0656709999999995/$X290, 0.0656709999999995)</f>
        <v>0.11741641337385927</v>
      </c>
      <c r="AX290" s="88">
        <f>IF($Z$3="yes", 0.0195819999999999/$X290, 0.0195819999999999)</f>
        <v>3.5011621669944398E-2</v>
      </c>
      <c r="AY290" s="88">
        <f>IF($Z$3="yes", 0.0343000000000006/$X290, 0.0343000000000006)</f>
        <v>6.1326658322904702E-2</v>
      </c>
      <c r="AZ290" s="88">
        <f>IF($Z$3="yes", 0.0284785714285717/$X290, 0.0284785714285717)</f>
        <v>5.0918239636280525E-2</v>
      </c>
      <c r="BA290" s="88">
        <f>IF($Z$3="yes", 0.0236249999999997/$X290, 0.0236249999999997)</f>
        <v>4.2240300375468796E-2</v>
      </c>
      <c r="BB290" s="88">
        <f>IF($Z$3="yes", 0.0147180000000006/$X290, 0.0147180000000006)</f>
        <v>2.6315036652960127E-2</v>
      </c>
      <c r="BC290" s="88">
        <f>IF($Z$3="yes", 0.0088965714285718/$X290, 0.0088965714285718)</f>
        <v>1.5906617966336134E-2</v>
      </c>
      <c r="BD290" s="88">
        <f>IF($Z$3="yes", 0.00404299999999979/$X290, 0.00404299999999979)</f>
        <v>7.2286787055243868E-3</v>
      </c>
      <c r="BE290" s="88">
        <f>IF($Z$3="yes", 0.00582142857142886/$X290, 0.00582142857142886)</f>
        <v>1.04084186866241E-2</v>
      </c>
      <c r="BF290" s="88">
        <f>IF($Z$3="yes", 0.0106750000000008/$X290, 0.0106750000000008)</f>
        <v>1.9086357947435722E-2</v>
      </c>
      <c r="BG290" s="88">
        <f>IF($Z$3="yes", 0.00485357142857201/$X290, 0.00485357142857201)</f>
        <v>8.6779392608117463E-3</v>
      </c>
      <c r="BH290" s="88">
        <f>IF($Z$3="yes", 0.0744102244897959/$X290, 0.0744102244897959)</f>
        <v>0.13304170300338977</v>
      </c>
      <c r="BI290" s="68"/>
      <c r="BJ290" s="68"/>
      <c r="BK290" s="68">
        <f>IF($BL$3="yes", MAX(0, (15022464 - 8552537.6) / 3585941.59563368), 8552537.6)</f>
        <v>8552537.5999999996</v>
      </c>
      <c r="BL290" s="68">
        <f>IF($BL$3="yes", MAX(0, (15022464 - 6724931.8) / 3196090.0438098), 6724931.8)</f>
        <v>6724931.7999999998</v>
      </c>
      <c r="BM290" s="68">
        <f>IF($BL$3="yes", MAX(0, (15022464 - 6723479.95) / 3586006.64370383), 6723479.95)</f>
        <v>6723479.9500000002</v>
      </c>
      <c r="BN290" s="68">
        <f>IF($BL$3="yes", MAX(0, (15022464 - 4963236.18) / 3027559.2662185), 4963236.18)</f>
        <v>4963236.18</v>
      </c>
      <c r="BO290" s="68">
        <f>IF($BL$3="yes", MAX(0, (15022464 - 7517812.76) / 7985582.81872573), 7517812.76)</f>
        <v>7517812.7599999998</v>
      </c>
      <c r="BP290" s="68">
        <f>IF($BL$3="yes", MAX(0, (15022464 - 11750490.92) / 20180817.3409944), 11750490.92)</f>
        <v>11750490.92</v>
      </c>
      <c r="BQ290" s="68">
        <v>62.731225506695758</v>
      </c>
      <c r="BR290" s="68"/>
      <c r="BS290" s="68"/>
      <c r="BT290" s="68">
        <v>-359419897.99426568</v>
      </c>
      <c r="BU290" s="68">
        <v>150367.87245243791</v>
      </c>
      <c r="BV290" s="68">
        <f>IF($Z$3="yes", 0.0282564293455215/$X290, 0.0282564293455215)</f>
        <v>5.0521060871663685E-2</v>
      </c>
      <c r="BW290" s="68">
        <f>IF($Z$3="yes", 0.0333984724509393/$X290, 0.0333984724509393)</f>
        <v>5.9714772842730732E-2</v>
      </c>
      <c r="BX290" s="68">
        <f>$BW$72 - $BV$72</f>
        <v>4.324973697845251E-2</v>
      </c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81"/>
      <c r="CR290" s="81"/>
      <c r="CS290" s="68"/>
      <c r="CT290" s="68"/>
      <c r="CU290" s="68"/>
    </row>
    <row r="291" spans="1:99" ht="15.75" customHeight="1" thickBot="1" x14ac:dyDescent="0.3">
      <c r="A291" s="84" t="s">
        <v>650</v>
      </c>
      <c r="B291" s="67" t="s">
        <v>128</v>
      </c>
      <c r="C291" s="68" t="s">
        <v>525</v>
      </c>
      <c r="D291" s="67" t="s">
        <v>651</v>
      </c>
      <c r="E291" s="67">
        <v>1</v>
      </c>
      <c r="F291" s="85">
        <v>1.26</v>
      </c>
      <c r="G291" s="313">
        <v>44182</v>
      </c>
      <c r="H291" s="317">
        <v>6.88</v>
      </c>
      <c r="I291" s="85">
        <v>74.11</v>
      </c>
      <c r="J291" s="313">
        <v>44278</v>
      </c>
      <c r="K291" s="149">
        <f t="shared" si="10"/>
        <v>4.4603174603174605</v>
      </c>
      <c r="L291" s="149">
        <f t="shared" si="11"/>
        <v>57.817460317460316</v>
      </c>
      <c r="M291" s="312">
        <v>44407</v>
      </c>
      <c r="N291" s="68"/>
      <c r="O291" s="291">
        <v>11662379</v>
      </c>
      <c r="P291" s="291">
        <v>6420000</v>
      </c>
      <c r="Q291" s="291">
        <v>96</v>
      </c>
      <c r="R291" s="68" t="s">
        <v>211</v>
      </c>
      <c r="S291" s="68" t="s">
        <v>192</v>
      </c>
      <c r="T291" s="68" t="s">
        <v>193</v>
      </c>
      <c r="U291" s="68">
        <v>32</v>
      </c>
      <c r="V291" s="68">
        <v>19990205</v>
      </c>
      <c r="W291" s="68"/>
      <c r="X291" s="68">
        <v>2.16</v>
      </c>
      <c r="Y291" s="68">
        <v>1.1820895</v>
      </c>
      <c r="Z291" s="68">
        <v>1.067148</v>
      </c>
      <c r="AA291" s="68">
        <v>1.222991999999999</v>
      </c>
      <c r="AB291" s="68">
        <v>1.1206619999999989</v>
      </c>
      <c r="AC291" s="68">
        <v>1.2795700000000001</v>
      </c>
      <c r="AD291" s="68">
        <v>1.3746071428571429</v>
      </c>
      <c r="AE291" s="68">
        <v>1.4186875000000001</v>
      </c>
      <c r="AF291" s="68">
        <f>IF($Z$3="yes", -0.00114301845046122/$X291, -0.00114301845046122)</f>
        <v>-5.291752085468611E-4</v>
      </c>
      <c r="AG291" s="68">
        <f>IF($Z$3="yes", 0.00512666906690671/$X291, 0.00512666906690671)</f>
        <v>2.3734579013456989E-3</v>
      </c>
      <c r="AH291" s="68">
        <f>IF($Z$3="yes", 0.00440581992797124/$X291, 0.00440581992797124)</f>
        <v>2.039731448134833E-3</v>
      </c>
      <c r="AI291" s="68">
        <f>IF($Z$3="yes", 0.00456511404561831/$X291, 0.00456511404561831)</f>
        <v>2.1134787248232915E-3</v>
      </c>
      <c r="AJ291" s="68">
        <f>IF($Z$3="yes", 0.030344060150377/$X291, 0.030344060150377)</f>
        <v>1.4048175995544906E-2</v>
      </c>
      <c r="AK291" s="68">
        <f>IF($Z$3="yes", 0.0272358241758251/$X291, 0.0272358241758251)</f>
        <v>1.2609177859178287E-2</v>
      </c>
      <c r="AL291" s="68">
        <f>IF($Z$3="yes", 0.05940833333333/$X291, 0.05940833333333)</f>
        <v>2.7503858024689815E-2</v>
      </c>
      <c r="AM291" s="68">
        <f>IF($Z$3="yes", 0.114941499999999/$X291, 0.114941499999999)</f>
        <v>5.3213657407406939E-2</v>
      </c>
      <c r="AN291" s="68">
        <f>IF($Z$3="yes", 0.0409024999999998/$X291, 0.0409024999999998)</f>
        <v>1.8936342592592498E-2</v>
      </c>
      <c r="AO291" s="68">
        <f>IF($Z$3="yes", 0.0614275000000001/$X291, 0.0614275000000001)</f>
        <v>2.8438657407407451E-2</v>
      </c>
      <c r="AP291" s="68">
        <f>IF($Z$3="yes", 0.0974805000000003/$X291, 0.0974805000000003)</f>
        <v>4.5129861111111245E-2</v>
      </c>
      <c r="AQ291" s="68">
        <f>IF($Z$3="yes", 0.192517642857143/$X291, 0.192517642857143)</f>
        <v>8.9128538359788428E-2</v>
      </c>
      <c r="AR291" s="68">
        <f>IF($Z$3="yes", 0.236598/$X291, 0.236598)</f>
        <v>0.10953611111111111</v>
      </c>
      <c r="AS291" s="68">
        <f>IF($Z$3="yes", 0.155843999999999/$X291, 0.155843999999999)</f>
        <v>7.2149999999999534E-2</v>
      </c>
      <c r="AT291" s="68">
        <f>IF($Z$3="yes", 0.0535139999999996/$X291, 0.0535139999999996)</f>
        <v>2.4774999999999811E-2</v>
      </c>
      <c r="AU291" s="88">
        <f>IF($Z$3="yes", 0.212422/$X291, 0.212422)</f>
        <v>9.8343518518518511E-2</v>
      </c>
      <c r="AV291" s="88">
        <f>IF($Z$3="yes", 0.307459142857143/$X291, 0.307459142857143)</f>
        <v>0.14234219576719581</v>
      </c>
      <c r="AW291" s="88">
        <f>IF($Z$3="yes", 0.351539499999999/$X291, 0.351539499999999)</f>
        <v>0.16274976851851805</v>
      </c>
      <c r="AX291" s="88">
        <f>IF($Z$3="yes", 0.10233/$X291, 0.10233)</f>
        <v>4.7375E-2</v>
      </c>
      <c r="AY291" s="88">
        <f>IF($Z$3="yes", 0.158908/$X291, 0.158908)</f>
        <v>7.3568518518518505E-2</v>
      </c>
      <c r="AZ291" s="88">
        <f>IF($Z$3="yes", 0.253945142857143/$X291, 0.253945142857143)</f>
        <v>0.11756719576719582</v>
      </c>
      <c r="BA291" s="88">
        <f>IF($Z$3="yes", 0.2980255/$X291, 0.2980255)</f>
        <v>0.1379747685185185</v>
      </c>
      <c r="BB291" s="88">
        <f>IF($Z$3="yes", 0.0565780000000004/$X291, 0.0565780000000004)</f>
        <v>2.6193518518518703E-2</v>
      </c>
      <c r="BC291" s="88">
        <f>IF($Z$3="yes", 0.151615142857143/$X291, 0.151615142857143)</f>
        <v>7.0192195767195834E-2</v>
      </c>
      <c r="BD291" s="88">
        <f>IF($Z$3="yes", 0.1956955/$X291, 0.1956955)</f>
        <v>9.0599768518518503E-2</v>
      </c>
      <c r="BE291" s="88">
        <f>IF($Z$3="yes", 0.0950371428571432/$X291, 0.0950371428571432)</f>
        <v>4.3998677248677405E-2</v>
      </c>
      <c r="BF291" s="88">
        <f>IF($Z$3="yes", 0.139117499999999/$X291, 0.139117499999999)</f>
        <v>6.440624999999954E-2</v>
      </c>
      <c r="BG291" s="88">
        <f>IF($Z$3="yes", 0.0440803571428565/$X291, 0.0440803571428565)</f>
        <v>2.0407572751322451E-2</v>
      </c>
      <c r="BH291" s="88">
        <f>IF($Z$3="yes", 0.283687105442177/$X291, 0.283687105442177)</f>
        <v>0.13133662288989675</v>
      </c>
      <c r="BI291" s="68"/>
      <c r="BJ291" s="68"/>
      <c r="BK291" s="68">
        <f>IF($BL$3="yes", MAX(0, (19990205 - 4026248.4) / 7981998.68345169), 4026248.4)</f>
        <v>4026248.4</v>
      </c>
      <c r="BL291" s="68">
        <f>IF($BL$3="yes", MAX(0, (19990205 - 2052632.6) / 5979432.44245656), 2052632.6)</f>
        <v>2052632.6</v>
      </c>
      <c r="BM291" s="68">
        <f>IF($BL$3="yes", MAX(0, (19990205 - 1175276.55) / 4332820.32842669), 1175276.55)</f>
        <v>1175276.55</v>
      </c>
      <c r="BN291" s="68">
        <f>IF($BL$3="yes", MAX(0, (19990205 - 485926.94) / 2798035.72216233), 485926.94)</f>
        <v>485926.94</v>
      </c>
      <c r="BO291" s="68">
        <f>IF($BL$3="yes", MAX(0, (19990205 - 255237.59) / 1992258.43735496), 255237.59)</f>
        <v>255237.59</v>
      </c>
      <c r="BP291" s="68">
        <f>IF($BL$3="yes", MAX(0, (19990205 - 132263.895) / 1414186.73212555), 132263.895)</f>
        <v>132263.89499999999</v>
      </c>
      <c r="BQ291" s="68">
        <v>73.784434876624687</v>
      </c>
      <c r="BR291" s="68"/>
      <c r="BS291" s="68"/>
      <c r="BT291" s="68">
        <v>1595899.0668077201</v>
      </c>
      <c r="BU291" s="68">
        <v>927786.11844728701</v>
      </c>
      <c r="BV291" s="68">
        <f>IF($Z$3="yes", 0.261490340299871/$X291, 0.261490340299871)</f>
        <v>0.12106034273142176</v>
      </c>
      <c r="BW291" s="68">
        <f>IF($Z$3="yes", 0.146579821892094/$X291, 0.146579821892094)</f>
        <v>6.7861028653747227E-2</v>
      </c>
      <c r="BX291" s="68">
        <f>$BW$71 - $BV$71</f>
        <v>4.8778087958248562E-2</v>
      </c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  <c r="CQ291" s="81"/>
      <c r="CR291" s="81"/>
      <c r="CS291" s="68"/>
      <c r="CT291" s="68"/>
      <c r="CU291" s="68"/>
    </row>
    <row r="292" spans="1:99" ht="15.75" customHeight="1" thickBot="1" x14ac:dyDescent="0.3">
      <c r="A292" s="84" t="s">
        <v>194</v>
      </c>
      <c r="B292" s="67" t="s">
        <v>181</v>
      </c>
      <c r="C292" s="83" t="s">
        <v>652</v>
      </c>
      <c r="D292" s="67" t="s">
        <v>653</v>
      </c>
      <c r="E292" s="67">
        <v>1</v>
      </c>
      <c r="F292" s="85">
        <v>1.4800000000000001E-2</v>
      </c>
      <c r="G292" s="313">
        <v>44176</v>
      </c>
      <c r="H292" s="317">
        <v>1.4200000000000001E-2</v>
      </c>
      <c r="I292" s="85">
        <v>9.5000000000000001E-2</v>
      </c>
      <c r="J292" s="313">
        <v>44210</v>
      </c>
      <c r="K292" s="105">
        <f t="shared" si="10"/>
        <v>-4.0540540540540571E-2</v>
      </c>
      <c r="L292" s="149">
        <f t="shared" si="11"/>
        <v>5.4189189189189184</v>
      </c>
      <c r="M292" s="312">
        <v>44407</v>
      </c>
      <c r="N292" s="68"/>
      <c r="O292" s="68">
        <v>2307029206</v>
      </c>
      <c r="P292" s="68"/>
      <c r="Q292" s="68">
        <v>32</v>
      </c>
      <c r="R292" s="68"/>
      <c r="S292" s="68" t="s">
        <v>220</v>
      </c>
      <c r="T292" s="68"/>
      <c r="U292" s="68">
        <v>1388</v>
      </c>
      <c r="V292" s="68">
        <v>21257803</v>
      </c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88"/>
      <c r="AV292" s="88"/>
      <c r="AW292" s="88"/>
      <c r="AX292" s="88"/>
      <c r="AY292" s="88"/>
      <c r="AZ292" s="88"/>
      <c r="BA292" s="88"/>
      <c r="BB292" s="88"/>
      <c r="BC292" s="88"/>
      <c r="BD292" s="88"/>
      <c r="BE292" s="88"/>
      <c r="BF292" s="88"/>
      <c r="BG292" s="88"/>
      <c r="BH292" s="8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  <c r="CO292" s="68"/>
      <c r="CP292" s="68"/>
      <c r="CQ292" s="81"/>
      <c r="CR292" s="81"/>
      <c r="CS292" s="68"/>
      <c r="CT292" s="68"/>
      <c r="CU292" s="68"/>
    </row>
    <row r="293" spans="1:99" ht="15.75" customHeight="1" thickBot="1" x14ac:dyDescent="0.3">
      <c r="A293" s="84" t="s">
        <v>654</v>
      </c>
      <c r="B293" s="67" t="s">
        <v>128</v>
      </c>
      <c r="C293" s="83" t="s">
        <v>655</v>
      </c>
      <c r="D293" s="67" t="s">
        <v>273</v>
      </c>
      <c r="E293" s="67">
        <v>1</v>
      </c>
      <c r="F293" s="85">
        <v>2.77</v>
      </c>
      <c r="G293" s="313">
        <v>44162</v>
      </c>
      <c r="H293" s="317">
        <v>3.6</v>
      </c>
      <c r="I293" s="85">
        <v>5.4</v>
      </c>
      <c r="J293" s="313">
        <v>44245</v>
      </c>
      <c r="K293" s="226">
        <f t="shared" si="10"/>
        <v>0.29963898916967513</v>
      </c>
      <c r="L293" s="259">
        <f t="shared" si="11"/>
        <v>0.94945848375451281</v>
      </c>
      <c r="M293" s="312">
        <v>44373</v>
      </c>
      <c r="N293" s="68"/>
      <c r="O293" s="291">
        <v>5018271</v>
      </c>
      <c r="P293" s="291">
        <v>4650000</v>
      </c>
      <c r="Q293" s="291">
        <v>83</v>
      </c>
      <c r="R293" s="68" t="s">
        <v>131</v>
      </c>
      <c r="S293" s="68" t="s">
        <v>148</v>
      </c>
      <c r="T293" s="68" t="s">
        <v>242</v>
      </c>
      <c r="U293" s="68">
        <v>0</v>
      </c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88"/>
      <c r="AV293" s="88"/>
      <c r="AW293" s="88"/>
      <c r="AX293" s="88"/>
      <c r="AY293" s="88"/>
      <c r="AZ293" s="88"/>
      <c r="BA293" s="88"/>
      <c r="BB293" s="88"/>
      <c r="BC293" s="88"/>
      <c r="BD293" s="88"/>
      <c r="BE293" s="88"/>
      <c r="BF293" s="88"/>
      <c r="BG293" s="88"/>
      <c r="BH293" s="8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  <c r="CQ293" s="81"/>
      <c r="CR293" s="81"/>
      <c r="CS293" s="68"/>
      <c r="CT293" s="68"/>
      <c r="CU293" s="68"/>
    </row>
    <row r="294" spans="1:99" ht="15.75" customHeight="1" thickBot="1" x14ac:dyDescent="0.3">
      <c r="A294" s="84" t="s">
        <v>656</v>
      </c>
      <c r="B294" s="67" t="s">
        <v>128</v>
      </c>
      <c r="C294" s="83" t="s">
        <v>655</v>
      </c>
      <c r="D294" s="67" t="s">
        <v>657</v>
      </c>
      <c r="E294" s="67">
        <v>1</v>
      </c>
      <c r="F294" s="85">
        <v>1.37</v>
      </c>
      <c r="G294" s="313">
        <v>44162</v>
      </c>
      <c r="H294" s="317">
        <v>3.2</v>
      </c>
      <c r="I294" s="85">
        <v>17.5</v>
      </c>
      <c r="J294" s="313">
        <v>44358</v>
      </c>
      <c r="K294" s="149">
        <f t="shared" si="10"/>
        <v>1.335766423357664</v>
      </c>
      <c r="L294" s="149">
        <f t="shared" si="11"/>
        <v>11.773722627737225</v>
      </c>
      <c r="M294" s="312">
        <v>44407</v>
      </c>
      <c r="N294" s="68"/>
      <c r="O294" s="291">
        <v>19524289</v>
      </c>
      <c r="P294" s="291">
        <v>4980000</v>
      </c>
      <c r="Q294" s="291">
        <v>196</v>
      </c>
      <c r="R294" s="68" t="s">
        <v>152</v>
      </c>
      <c r="S294" s="68" t="s">
        <v>220</v>
      </c>
      <c r="T294" s="67" t="s">
        <v>595</v>
      </c>
      <c r="U294" s="68">
        <v>276</v>
      </c>
      <c r="V294" s="68">
        <v>296601</v>
      </c>
      <c r="W294" s="68"/>
      <c r="X294" s="68">
        <v>1.37</v>
      </c>
      <c r="Y294" s="68">
        <v>1.6523165</v>
      </c>
      <c r="Z294" s="68">
        <v>1.065047000000001</v>
      </c>
      <c r="AA294" s="68">
        <v>1.0612100000000011</v>
      </c>
      <c r="AB294" s="68">
        <v>0.98687200000000108</v>
      </c>
      <c r="AC294" s="68">
        <v>1.1392899999999999</v>
      </c>
      <c r="AD294" s="68">
        <v>1.1689857142857141</v>
      </c>
      <c r="AE294" s="68">
        <v>1.230100000000002</v>
      </c>
      <c r="AF294" s="68">
        <f>IF($Z$3="yes", -0.00905909840246003/$X294, -0.00905909840246003)</f>
        <v>-6.6124805857372482E-3</v>
      </c>
      <c r="AG294" s="68">
        <f>IF($Z$3="yes", -0.00020933393339337/$X294, -0.00020933393339337)</f>
        <v>-1.5279849152800728E-4</v>
      </c>
      <c r="AH294" s="68">
        <f>IF($Z$3="yes", 0.00683371428571393/$X294, 0.00683371428571393)</f>
        <v>4.9881126173094373E-3</v>
      </c>
      <c r="AI294" s="68">
        <f>IF($Z$3="yes", 0.0069799951980789/$X294, 0.0069799951980789)</f>
        <v>5.094887005897007E-3</v>
      </c>
      <c r="AJ294" s="68">
        <f>IF($Z$3="yes", 0.0136368421052638/$X294, 0.0136368421052638)</f>
        <v>9.9538993469078831E-3</v>
      </c>
      <c r="AK294" s="68">
        <f>IF($Z$3="yes", 0.0225103296703306/$X294, 0.0225103296703306)</f>
        <v>1.6430897569584376E-2</v>
      </c>
      <c r="AL294" s="68">
        <f>IF($Z$3="yes", 0.0375285714285678/$X294, 0.0375285714285678)</f>
        <v>2.7393117831071387E-2</v>
      </c>
      <c r="AM294" s="68">
        <f>IF($Z$3="yes", 0.587269499999999/$X294, 0.587269499999999)</f>
        <v>0.42866386861313793</v>
      </c>
      <c r="AN294" s="68">
        <f>IF($Z$3="yes", 0.591106499999999/$X294, 0.591106499999999)</f>
        <v>0.43146459854014518</v>
      </c>
      <c r="AO294" s="68">
        <f>IF($Z$3="yes", 0.665444499999998/$X294, 0.665444499999998)</f>
        <v>0.48572591240875762</v>
      </c>
      <c r="AP294" s="68">
        <f>IF($Z$3="yes", 0.513026499999999/$X294, 0.513026499999999)</f>
        <v>0.37447189781021828</v>
      </c>
      <c r="AQ294" s="68">
        <f>IF($Z$3="yes", 0.483330785714285/$X294, 0.483330785714285)</f>
        <v>0.35279619395203282</v>
      </c>
      <c r="AR294" s="68">
        <f>IF($Z$3="yes", 0.422216499999997/$X294, 0.422216499999997)</f>
        <v>0.30818722627737005</v>
      </c>
      <c r="AS294" s="68">
        <f>IF($Z$3="yes", 0.00383699999999986/$X294, 0.00383699999999986)</f>
        <v>2.8007299270071968E-3</v>
      </c>
      <c r="AT294" s="68">
        <f>IF($Z$3="yes", 0.0781749999999994/$X294, 0.0781749999999994)</f>
        <v>5.7062043795619993E-2</v>
      </c>
      <c r="AU294" s="88">
        <f>IF($Z$3="yes", 0.0742429999999993/$X294, 0.0742429999999993)</f>
        <v>5.4191970802919188E-2</v>
      </c>
      <c r="AV294" s="88">
        <f>IF($Z$3="yes", 0.103938714285713/$X294, 0.103938714285713)</f>
        <v>7.5867674661104376E-2</v>
      </c>
      <c r="AW294" s="88">
        <f>IF($Z$3="yes", 0.165053000000001/$X294, 0.165053000000001)</f>
        <v>0.12047664233576715</v>
      </c>
      <c r="AX294" s="88">
        <f>IF($Z$3="yes", 0.0743379999999995/$X294, 0.0743379999999995)</f>
        <v>5.4261313868612771E-2</v>
      </c>
      <c r="AY294" s="88">
        <f>IF($Z$3="yes", 0.152417999999998/$X294, 0.152417999999998)</f>
        <v>0.11125401459853868</v>
      </c>
      <c r="AZ294" s="88">
        <f>IF($Z$3="yes", 0.182113714285713/$X294, 0.182113714285713)</f>
        <v>0.1329297184567248</v>
      </c>
      <c r="BA294" s="88">
        <f>IF($Z$3="yes", 0.243228/$X294, 0.243228)</f>
        <v>0.17753868613138685</v>
      </c>
      <c r="BB294" s="88">
        <f>IF($Z$3="yes", 0.0780799999999992/$X294, 0.0780799999999992)</f>
        <v>5.6992700729926425E-2</v>
      </c>
      <c r="BC294" s="88">
        <f>IF($Z$3="yes", 0.107775714285713/$X294, 0.107775714285713)</f>
        <v>7.8668404588111682E-2</v>
      </c>
      <c r="BD294" s="88">
        <f>IF($Z$3="yes", 0.168890000000001/$X294, 0.168890000000001)</f>
        <v>0.12327737226277445</v>
      </c>
      <c r="BE294" s="88">
        <f>IF($Z$3="yes", 0.0296957142857141/$X294, 0.0296957142857141)</f>
        <v>2.1675703858185472E-2</v>
      </c>
      <c r="BF294" s="88">
        <f>IF($Z$3="yes", 0.090810000000002/$X294, 0.090810000000002)</f>
        <v>6.6284671532848172E-2</v>
      </c>
      <c r="BG294" s="88">
        <f>IF($Z$3="yes", 0.0611142857142879/$X294, 0.0611142857142879)</f>
        <v>4.4608967674662693E-2</v>
      </c>
      <c r="BH294" s="88">
        <f>IF($Z$3="yes", 0.290324482993197/$X294, 0.290324482993197)</f>
        <v>0.21191568101693212</v>
      </c>
      <c r="BI294" s="68"/>
      <c r="BJ294" s="68"/>
      <c r="BK294" s="68">
        <f>IF($BL$3="yes", MAX(0, (296601 - 482739) / 333693.425332295), 482739)</f>
        <v>482739</v>
      </c>
      <c r="BL294" s="68">
        <f>IF($BL$3="yes", MAX(0, (296601 - 305375.2) / 295933.044653617), 305375.2)</f>
        <v>305375.2</v>
      </c>
      <c r="BM294" s="68">
        <f>IF($BL$3="yes", MAX(0, (296601 - 328511.65) / 342115.00937408), 328511.65)</f>
        <v>328511.65000000002</v>
      </c>
      <c r="BN294" s="68">
        <f>IF($BL$3="yes", MAX(0, (296601 - 775540.72) / 1714698.01297135), 775540.72)</f>
        <v>775540.72</v>
      </c>
      <c r="BO294" s="68">
        <f>IF($BL$3="yes", MAX(0, (296601 - 488191.64) / 1258286.60780672), 488191.64)</f>
        <v>488191.64</v>
      </c>
      <c r="BP294" s="68">
        <f>IF($BL$3="yes", MAX(0, (296601 - 328693.965) / 936858.773434851), 328693.965)</f>
        <v>328693.96500000003</v>
      </c>
      <c r="BQ294" s="68">
        <v>66.663901971686386</v>
      </c>
      <c r="BR294" s="68"/>
      <c r="BS294" s="68"/>
      <c r="BT294" s="68">
        <v>-6365624.8459927291</v>
      </c>
      <c r="BU294" s="68">
        <v>226854.1158336839</v>
      </c>
      <c r="BV294" s="68">
        <f>IF($Z$3="yes", 0.123543770990411/$X294, 0.123543770990411)</f>
        <v>9.0177935029497072E-2</v>
      </c>
      <c r="BW294" s="68">
        <f>IF($Z$3="yes", 0.123098267732018/$X294, 0.123098267732018)</f>
        <v>8.9852750169356191E-2</v>
      </c>
      <c r="BX294" s="68">
        <f>$BW$68 - $BV$68</f>
        <v>6.6102595642374445E-2</v>
      </c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81"/>
      <c r="CR294" s="81"/>
      <c r="CS294" s="68"/>
      <c r="CT294" s="68"/>
      <c r="CU294" s="68"/>
    </row>
    <row r="295" spans="1:99" ht="15.75" customHeight="1" thickBot="1" x14ac:dyDescent="0.3">
      <c r="A295" s="84" t="s">
        <v>658</v>
      </c>
      <c r="B295" s="67" t="s">
        <v>128</v>
      </c>
      <c r="C295" s="83" t="s">
        <v>655</v>
      </c>
      <c r="D295" s="67" t="s">
        <v>659</v>
      </c>
      <c r="E295" s="67">
        <v>1</v>
      </c>
      <c r="F295" s="85">
        <v>3.13</v>
      </c>
      <c r="G295" s="313">
        <v>44162</v>
      </c>
      <c r="H295" s="317">
        <v>2.2400000000000002</v>
      </c>
      <c r="I295" s="85">
        <v>4.24</v>
      </c>
      <c r="J295" s="313">
        <v>44173</v>
      </c>
      <c r="K295" s="125">
        <f t="shared" si="10"/>
        <v>-0.2843450479233226</v>
      </c>
      <c r="L295" s="135">
        <f t="shared" si="11"/>
        <v>0.35463258785942497</v>
      </c>
      <c r="M295" s="312">
        <v>44407</v>
      </c>
      <c r="N295" s="68"/>
      <c r="O295" s="291">
        <v>12366593</v>
      </c>
      <c r="P295" s="291">
        <v>7210000</v>
      </c>
      <c r="Q295" s="291">
        <v>11</v>
      </c>
      <c r="R295" s="68" t="s">
        <v>131</v>
      </c>
      <c r="S295" s="68" t="s">
        <v>148</v>
      </c>
      <c r="T295" s="67" t="s">
        <v>660</v>
      </c>
      <c r="U295" s="68">
        <v>88</v>
      </c>
      <c r="V295" s="68">
        <v>545742</v>
      </c>
      <c r="W295" s="68"/>
      <c r="X295" s="68">
        <v>3.15</v>
      </c>
      <c r="Y295" s="68">
        <v>2.423799499999999</v>
      </c>
      <c r="Z295" s="68">
        <v>2.1773490000000009</v>
      </c>
      <c r="AA295" s="68">
        <v>2.0509979999999999</v>
      </c>
      <c r="AB295" s="68">
        <v>1.991798</v>
      </c>
      <c r="AC295" s="68">
        <v>2.1339999999999999</v>
      </c>
      <c r="AD295" s="68">
        <v>2.261428571428572</v>
      </c>
      <c r="AE295" s="68">
        <v>2.4662500000000032</v>
      </c>
      <c r="AF295" s="68">
        <f>IF($Z$3="yes", -0.00519907140178487/$X295, -0.00519907140178487)</f>
        <v>-1.6504988577094825E-3</v>
      </c>
      <c r="AG295" s="68">
        <f>IF($Z$3="yes", -0.00402836423642366/$X295, -0.00402836423642366)</f>
        <v>-1.2788457893408444E-3</v>
      </c>
      <c r="AH295" s="68">
        <f>IF($Z$3="yes", 0.00784504681872746/$X295, 0.00784504681872746)</f>
        <v>2.4904910535642733E-3</v>
      </c>
      <c r="AI295" s="68">
        <f>IF($Z$3="yes", -0.00357305642256906/$X295, -0.00357305642256906)</f>
        <v>-1.1343036262124E-3</v>
      </c>
      <c r="AJ295" s="68">
        <f>IF($Z$3="yes", 0.0552330827067661/$X295, 0.0552330827067661)</f>
        <v>1.7534311970401936E-2</v>
      </c>
      <c r="AK295" s="68">
        <f>IF($Z$3="yes", 0.0836043956043988/$X295, 0.0836043956043988)</f>
        <v>2.6541077969650415E-2</v>
      </c>
      <c r="AL295" s="68">
        <f>IF($Z$3="yes", 0.159642857142857/$X295, 0.159642857142857)</f>
        <v>5.0680272108843495E-2</v>
      </c>
      <c r="AM295" s="68">
        <f>IF($Z$3="yes", 0.246450499999997/$X295, 0.246450499999997)</f>
        <v>7.8238253968253013E-2</v>
      </c>
      <c r="AN295" s="68">
        <f>IF($Z$3="yes", 0.372801499999998/$X295, 0.372801499999998)</f>
        <v>0.11834968253968191</v>
      </c>
      <c r="AO295" s="68">
        <f>IF($Z$3="yes", 0.432001499999998/$X295, 0.432001499999998)</f>
        <v>0.1371433333333327</v>
      </c>
      <c r="AP295" s="68">
        <f>IF($Z$3="yes", 0.289799499999998/$X295, 0.289799499999998)</f>
        <v>9.1999841269840635E-2</v>
      </c>
      <c r="AQ295" s="68">
        <f>IF($Z$3="yes", 0.162370928571426/$X295, 0.162370928571426)</f>
        <v>5.1546326530611426E-2</v>
      </c>
      <c r="AR295" s="68">
        <f>IF($Z$3="yes", 0.0424505000000041/$X295, 0.0424505000000041)</f>
        <v>1.347634920635051E-2</v>
      </c>
      <c r="AS295" s="68">
        <f>IF($Z$3="yes", 0.126351000000001/$X295, 0.126351000000001)</f>
        <v>4.0111428571428888E-2</v>
      </c>
      <c r="AT295" s="68">
        <f>IF($Z$3="yes", 0.185551000000001/$X295, 0.185551000000001)</f>
        <v>5.8905079365079681E-2</v>
      </c>
      <c r="AU295" s="88">
        <f>IF($Z$3="yes", 0.0433490000000009/$X295, 0.0433490000000009)</f>
        <v>1.3761587301587589E-2</v>
      </c>
      <c r="AV295" s="88">
        <f>IF($Z$3="yes", 0.0840795714285711/$X295, 0.0840795714285711)</f>
        <v>2.6691927437641622E-2</v>
      </c>
      <c r="AW295" s="88">
        <f>IF($Z$3="yes", 0.288901000000001/$X295, 0.288901000000001)</f>
        <v>9.1714603174603504E-2</v>
      </c>
      <c r="AX295" s="88">
        <f>IF($Z$3="yes", 0.0592000000000001/$X295, 0.0592000000000001)</f>
        <v>1.8793650793650824E-2</v>
      </c>
      <c r="AY295" s="88">
        <f>IF($Z$3="yes", 0.142202/$X295, 0.142202)</f>
        <v>4.5143492063492066E-2</v>
      </c>
      <c r="AZ295" s="88">
        <f>IF($Z$3="yes", 0.269630571428572/$X295, 0.269630571428572)</f>
        <v>8.5597006802721268E-2</v>
      </c>
      <c r="BA295" s="88">
        <f>IF($Z$3="yes", 0.474452000000003/$X295, 0.474452000000003)</f>
        <v>0.1506196825396835</v>
      </c>
      <c r="BB295" s="88">
        <f>IF($Z$3="yes", 0.083002/$X295, 0.083002)</f>
        <v>2.6349841269841273E-2</v>
      </c>
      <c r="BC295" s="88">
        <f>IF($Z$3="yes", 0.210430571428572/$X295, 0.210430571428572)</f>
        <v>6.6803356009070475E-2</v>
      </c>
      <c r="BD295" s="88">
        <f>IF($Z$3="yes", 0.415252000000002/$X295, 0.415252000000002)</f>
        <v>0.13182603174603238</v>
      </c>
      <c r="BE295" s="88">
        <f>IF($Z$3="yes", 0.127428571428572/$X295, 0.127428571428572)</f>
        <v>4.0453514739229209E-2</v>
      </c>
      <c r="BF295" s="88">
        <f>IF($Z$3="yes", 0.332250000000002/$X295, 0.332250000000002)</f>
        <v>0.10547619047619111</v>
      </c>
      <c r="BG295" s="88">
        <f>IF($Z$3="yes", 0.20482142857143/$X295, 0.20482142857143)</f>
        <v>6.5022675736961896E-2</v>
      </c>
      <c r="BH295" s="88">
        <f>IF($Z$3="yes", 0.414342938775511/$X295, 0.414342938775511)</f>
        <v>0.1315374408811146</v>
      </c>
      <c r="BI295" s="68"/>
      <c r="BJ295" s="68"/>
      <c r="BK295" s="68">
        <f>IF($BL$3="yes", MAX(0, (545742 - 525214.8) / 267076.834430393), 525214.8)</f>
        <v>525214.80000000005</v>
      </c>
      <c r="BL295" s="68">
        <f>IF($BL$3="yes", MAX(0, (545742 - 301068.6) / 293575.108272891), 301068.6)</f>
        <v>301068.59999999998</v>
      </c>
      <c r="BM295" s="68">
        <f>IF($BL$3="yes", MAX(0, (545742 - 218743) / 242441.00081195), 218743)</f>
        <v>218743</v>
      </c>
      <c r="BN295" s="68">
        <f>IF($BL$3="yes", MAX(0, (545742 - 210702.38) / 511488.446345756), 210702.38)</f>
        <v>210702.38</v>
      </c>
      <c r="BO295" s="68">
        <f>IF($BL$3="yes", MAX(0, (545742 - 198490.51) / 371469.397499349), 198490.51)</f>
        <v>198490.51</v>
      </c>
      <c r="BP295" s="68">
        <f>IF($BL$3="yes", MAX(0, (545742 - 295622.83) / 504250.927609747), 295622.83)</f>
        <v>295622.83</v>
      </c>
      <c r="BQ295" s="68">
        <v>84.640788198751125</v>
      </c>
      <c r="BR295" s="68"/>
      <c r="BS295" s="68"/>
      <c r="BT295" s="68">
        <v>-3213639.7842333112</v>
      </c>
      <c r="BU295" s="68">
        <v>542068.39946192456</v>
      </c>
      <c r="BV295" s="68">
        <f>IF($Z$3="yes", 0.185735770711282/$X295, 0.185735770711282)</f>
        <v>5.8963736733740321E-2</v>
      </c>
      <c r="BW295" s="68">
        <f>IF($Z$3="yes", 0.124085567508496/$X295, 0.124085567508496)</f>
        <v>3.9392243653490797E-2</v>
      </c>
      <c r="BX295" s="68">
        <f>$BW$67 - $BV$67</f>
        <v>2.8978175265522953E-2</v>
      </c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  <c r="CO295" s="68"/>
      <c r="CP295" s="68"/>
      <c r="CQ295" s="81"/>
      <c r="CR295" s="81"/>
      <c r="CS295" s="68"/>
      <c r="CT295" s="68"/>
      <c r="CU295" s="68"/>
    </row>
    <row r="296" spans="1:99" ht="15.75" customHeight="1" thickBot="1" x14ac:dyDescent="0.3">
      <c r="A296" s="84" t="s">
        <v>194</v>
      </c>
      <c r="B296" s="67" t="s">
        <v>128</v>
      </c>
      <c r="C296" s="83" t="s">
        <v>661</v>
      </c>
      <c r="D296" s="67" t="s">
        <v>662</v>
      </c>
      <c r="E296" s="67">
        <v>1</v>
      </c>
      <c r="F296" s="85">
        <v>2.7</v>
      </c>
      <c r="G296" s="313">
        <v>44148</v>
      </c>
      <c r="H296" s="317">
        <v>6.11</v>
      </c>
      <c r="I296" s="85">
        <v>10.73</v>
      </c>
      <c r="J296" s="313">
        <v>44243</v>
      </c>
      <c r="K296" s="260">
        <f t="shared" si="10"/>
        <v>1.2629629629629631</v>
      </c>
      <c r="L296" s="149">
        <f t="shared" si="11"/>
        <v>2.9740740740740739</v>
      </c>
      <c r="M296" s="312">
        <v>44407</v>
      </c>
      <c r="N296" s="68"/>
      <c r="O296" s="291">
        <v>6595503</v>
      </c>
      <c r="P296" s="291">
        <v>6510000</v>
      </c>
      <c r="Q296" s="291">
        <v>95</v>
      </c>
      <c r="R296" s="68" t="s">
        <v>131</v>
      </c>
      <c r="S296" s="68" t="s">
        <v>157</v>
      </c>
      <c r="T296" s="68" t="s">
        <v>208</v>
      </c>
      <c r="U296" s="68">
        <v>208</v>
      </c>
      <c r="V296" s="68">
        <v>1501152</v>
      </c>
      <c r="W296" s="68"/>
      <c r="X296" s="68">
        <v>2.76</v>
      </c>
      <c r="Y296" s="68">
        <v>4.1111055000000016</v>
      </c>
      <c r="Z296" s="68">
        <v>4.2007599999999918</v>
      </c>
      <c r="AA296" s="68">
        <v>3.2725679999999979</v>
      </c>
      <c r="AB296" s="68">
        <v>3.6721699999999982</v>
      </c>
      <c r="AC296" s="68">
        <v>2.7089949999999989</v>
      </c>
      <c r="AD296" s="68">
        <v>2.6942785714285722</v>
      </c>
      <c r="AE296" s="68">
        <v>2.7312374999999989</v>
      </c>
      <c r="AF296" s="68">
        <f>IF($Z$3="yes", 0.00102866714167834/$X296, 0.00102866714167834)</f>
        <v>3.7270548611534067E-4</v>
      </c>
      <c r="AG296" s="68">
        <f>IF($Z$3="yes", -0.0298285160516033/$X296, -0.0298285160516033)</f>
        <v>-1.0807433352030183E-2</v>
      </c>
      <c r="AH296" s="68">
        <f>IF($Z$3="yes", -0.032145603841536/$X296, -0.032145603841536)</f>
        <v>-1.1646957913600002E-2</v>
      </c>
      <c r="AI296" s="68">
        <f>IF($Z$3="yes", -0.0446443457382948/$X296, -0.0446443457382948)</f>
        <v>-1.6175487586338699E-2</v>
      </c>
      <c r="AJ296" s="68">
        <f>IF($Z$3="yes", -0.00156443609022589/$X296, -0.00156443609022589)</f>
        <v>-5.6682467037169929E-4</v>
      </c>
      <c r="AK296" s="68">
        <f>IF($Z$3="yes", 0.00646131868131664/$X296, 0.00646131868131664)</f>
        <v>2.3410574932306669E-3</v>
      </c>
      <c r="AL296" s="68">
        <f>IF($Z$3="yes", -0.00797023809527902/$X296, -0.00797023809527902)</f>
        <v>-2.8877674258257322E-3</v>
      </c>
      <c r="AM296" s="68">
        <f>IF($Z$3="yes", 0.0896544999999902/$X296, 0.0896544999999902)</f>
        <v>3.2483514492750075E-2</v>
      </c>
      <c r="AN296" s="68">
        <f>IF($Z$3="yes", 0.838537500000003/$X296, 0.838537500000003)</f>
        <v>0.30381793478260982</v>
      </c>
      <c r="AO296" s="68">
        <f>IF($Z$3="yes", 0.438935500000003/$X296, 0.438935500000003)</f>
        <v>0.15903460144927645</v>
      </c>
      <c r="AP296" s="68">
        <f>IF($Z$3="yes", 1.4021105/$X296, 1.4021105)</f>
        <v>0.5080110507246377</v>
      </c>
      <c r="AQ296" s="68">
        <f>IF($Z$3="yes", 1.41682692857142/$X296, 1.41682692857142)</f>
        <v>0.51334309006210865</v>
      </c>
      <c r="AR296" s="68">
        <f>IF($Z$3="yes", 1.379868/$X296, 1.379868)</f>
        <v>0.49995217391304353</v>
      </c>
      <c r="AS296" s="68">
        <f>IF($Z$3="yes", 0.928191999999993/$X296, 0.928191999999993)</f>
        <v>0.33630144927535982</v>
      </c>
      <c r="AT296" s="68">
        <f>IF($Z$3="yes", 0.528589999999993/$X296, 0.528589999999993)</f>
        <v>0.19151811594202647</v>
      </c>
      <c r="AU296" s="88">
        <f>IF($Z$3="yes", 1.49176499999999/$X296, 1.49176499999999)</f>
        <v>0.5404945652173877</v>
      </c>
      <c r="AV296" s="88">
        <f>IF($Z$3="yes", 1.50648142857141/$X296, 1.50648142857141)</f>
        <v>0.54582660455485876</v>
      </c>
      <c r="AW296" s="88">
        <f>IF($Z$3="yes", 1.46952249999999/$X296, 1.46952249999999)</f>
        <v>0.53243568840579358</v>
      </c>
      <c r="AX296" s="88">
        <f>IF($Z$3="yes", 0.399602/$X296, 0.399602)</f>
        <v>0.14478333333333335</v>
      </c>
      <c r="AY296" s="88">
        <f>IF($Z$3="yes", 0.963174999999998/$X296, 0.963174999999998)</f>
        <v>0.34897644927536164</v>
      </c>
      <c r="AZ296" s="88">
        <f>IF($Z$3="yes", 0.977891428571426/$X296, 0.977891428571426)</f>
        <v>0.35430848861283554</v>
      </c>
      <c r="BA296" s="88">
        <f>IF($Z$3="yes", 0.940932499999998/$X296, 0.940932499999998)</f>
        <v>0.34091757246376742</v>
      </c>
      <c r="BB296" s="88">
        <f>IF($Z$3="yes", 0.563572999999998/$X296, 0.563572999999998)</f>
        <v>0.20419311594202827</v>
      </c>
      <c r="BC296" s="88">
        <f>IF($Z$3="yes", 0.578289428571425/$X296, 0.578289428571425)</f>
        <v>0.2095251552795018</v>
      </c>
      <c r="BD296" s="88">
        <f>IF($Z$3="yes", 0.541330499999998/$X296, 0.541330499999998)</f>
        <v>0.1961342391304341</v>
      </c>
      <c r="BE296" s="88">
        <f>IF($Z$3="yes", 0.0147164285714271/$X296, 0.0147164285714271)</f>
        <v>5.3320393374735875E-3</v>
      </c>
      <c r="BF296" s="88">
        <f>IF($Z$3="yes", 0.0222424999999999/$X296, 0.0222424999999999)</f>
        <v>8.0588768115941681E-3</v>
      </c>
      <c r="BG296" s="88">
        <f>IF($Z$3="yes", 0.0369589285714271/$X296, 0.0369589285714271)</f>
        <v>1.3390916149067792E-2</v>
      </c>
      <c r="BH296" s="88">
        <f>IF($Z$3="yes", 0.719141367346938/$X296, 0.719141367346938)</f>
        <v>0.26055846643005004</v>
      </c>
      <c r="BI296" s="68"/>
      <c r="BJ296" s="68"/>
      <c r="BK296" s="68">
        <f>IF($BL$3="yes", MAX(0, (1501152 - 506483.2) / 511923.721052033), 506483.2)</f>
        <v>506483.20000000001</v>
      </c>
      <c r="BL296" s="68">
        <f>IF($BL$3="yes", MAX(0, (1501152 - 288951.1) / 422767.651115941), 288951.1)</f>
        <v>288951.09999999998</v>
      </c>
      <c r="BM296" s="68">
        <f>IF($BL$3="yes", MAX(0, (1501152 - 204525.7) / 321986.765298373), 204525.7)</f>
        <v>204525.7</v>
      </c>
      <c r="BN296" s="68">
        <f>IF($BL$3="yes", MAX(0, (1501152 - 271500.54) / 500546.401104601), 271500.54)</f>
        <v>271500.53999999998</v>
      </c>
      <c r="BO296" s="68">
        <f>IF($BL$3="yes", MAX(0, (1501152 - 170360.96) / 369502.447007565), 170360.96)</f>
        <v>170360.95999999999</v>
      </c>
      <c r="BP296" s="68">
        <f>IF($BL$3="yes", MAX(0, (1501152 - 114133.185) / 272349.962036349), 114133.185)</f>
        <v>114133.185</v>
      </c>
      <c r="BQ296" s="68">
        <v>44.436616559180337</v>
      </c>
      <c r="BR296" s="68"/>
      <c r="BS296" s="68"/>
      <c r="BT296" s="68">
        <v>-4500299.5424242979</v>
      </c>
      <c r="BU296" s="68">
        <v>-110314.8363145366</v>
      </c>
      <c r="BV296" s="68">
        <f>IF($Z$3="yes", 0.288271316669176/$X296, 0.288271316669176)</f>
        <v>0.10444612922796233</v>
      </c>
      <c r="BW296" s="68">
        <f>IF($Z$3="yes", 0.426503268011248/$X296, 0.426503268011248)</f>
        <v>0.15453016956929277</v>
      </c>
      <c r="BX296" s="68">
        <f>$BW$66 - $BV$66</f>
        <v>4.8049480159126134E-2</v>
      </c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  <c r="CO296" s="68"/>
      <c r="CP296" s="68"/>
      <c r="CQ296" s="81"/>
      <c r="CR296" s="81"/>
      <c r="CS296" s="68"/>
      <c r="CT296" s="68"/>
      <c r="CU296" s="68"/>
    </row>
    <row r="297" spans="1:99" ht="15.75" customHeight="1" thickBot="1" x14ac:dyDescent="0.3">
      <c r="A297" s="84" t="s">
        <v>194</v>
      </c>
      <c r="B297" s="67" t="s">
        <v>128</v>
      </c>
      <c r="C297" s="83" t="s">
        <v>663</v>
      </c>
      <c r="D297" s="67" t="s">
        <v>664</v>
      </c>
      <c r="E297" s="67">
        <v>1</v>
      </c>
      <c r="F297" s="85">
        <v>2.21</v>
      </c>
      <c r="G297" s="313">
        <v>44138</v>
      </c>
      <c r="H297" s="317">
        <v>11.21</v>
      </c>
      <c r="I297" s="85">
        <v>89.2</v>
      </c>
      <c r="J297" s="313">
        <v>44249</v>
      </c>
      <c r="K297" s="149">
        <f t="shared" si="10"/>
        <v>4.0723981900452495</v>
      </c>
      <c r="L297" s="149">
        <f t="shared" si="11"/>
        <v>39.361990950226243</v>
      </c>
      <c r="M297" s="312">
        <v>44407</v>
      </c>
      <c r="N297" s="68"/>
      <c r="O297" s="291">
        <v>15110324</v>
      </c>
      <c r="P297" s="291">
        <v>8279999.9999999991</v>
      </c>
      <c r="Q297" s="291">
        <v>111</v>
      </c>
      <c r="R297" s="68" t="s">
        <v>152</v>
      </c>
      <c r="S297" s="68" t="s">
        <v>135</v>
      </c>
      <c r="T297" s="67" t="s">
        <v>160</v>
      </c>
      <c r="U297" s="68">
        <v>676</v>
      </c>
      <c r="V297" s="68">
        <v>527423</v>
      </c>
      <c r="W297" s="68"/>
      <c r="X297" s="68">
        <v>2.21</v>
      </c>
      <c r="Y297" s="68">
        <v>6.1969169999999991</v>
      </c>
      <c r="Z297" s="68">
        <v>5.8174449999999958</v>
      </c>
      <c r="AA297" s="68">
        <v>4.3336400000000044</v>
      </c>
      <c r="AB297" s="68">
        <v>5.094820000000003</v>
      </c>
      <c r="AC297" s="68">
        <v>2.5787</v>
      </c>
      <c r="AD297" s="68">
        <v>2.3114285714285709</v>
      </c>
      <c r="AE297" s="68">
        <v>2.1987499999999982</v>
      </c>
      <c r="AF297" s="68">
        <f>IF($Z$3="yes", -0.0182077539938503/$X297, -0.0182077539938503)</f>
        <v>-8.2388027121494574E-3</v>
      </c>
      <c r="AG297" s="68">
        <f>IF($Z$3="yes", -0.0607735283528352/$X297, -0.0607735283528352)</f>
        <v>-2.7499334096305519E-2</v>
      </c>
      <c r="AH297" s="68">
        <f>IF($Z$3="yes", -0.0891272028811533/$X297, -0.0891272028811533)</f>
        <v>-4.0329051077444937E-2</v>
      </c>
      <c r="AI297" s="68">
        <f>IF($Z$3="yes", -0.0621253781512613/$X297, -0.0621253781512613)</f>
        <v>-2.8111030837674796E-2</v>
      </c>
      <c r="AJ297" s="68">
        <f>IF($Z$3="yes", -0.0698255639097718/$X297, -0.0698255639097718)</f>
        <v>-3.1595277787227059E-2</v>
      </c>
      <c r="AK297" s="68">
        <f>IF($Z$3="yes", -0.0381538461538478/$X297, -0.0381538461538478)</f>
        <v>-1.726418378002163E-2</v>
      </c>
      <c r="AL297" s="68">
        <f>IF($Z$3="yes", -0.00750000000001821/$X297, -0.00750000000001821)</f>
        <v>-3.3936651583792807E-3</v>
      </c>
      <c r="AM297" s="68">
        <f>IF($Z$3="yes", 0.379472000000003/$X297, 0.379472000000003)</f>
        <v>0.17170678733031808</v>
      </c>
      <c r="AN297" s="68">
        <f>IF($Z$3="yes", 1.86327699999999/$X297, 1.86327699999999)</f>
        <v>0.8431117647058779</v>
      </c>
      <c r="AO297" s="68">
        <f>IF($Z$3="yes", 1.10209699999999/$X297, 1.10209699999999)</f>
        <v>0.49868642533936197</v>
      </c>
      <c r="AP297" s="68">
        <f>IF($Z$3="yes", 3.61821699999999/$X297, 3.61821699999999)</f>
        <v>1.6372022624434344</v>
      </c>
      <c r="AQ297" s="68">
        <f>IF($Z$3="yes", 3.88548842857142/$X297, 3.88548842857142)</f>
        <v>1.7581395604395567</v>
      </c>
      <c r="AR297" s="68">
        <f>IF($Z$3="yes", 3.998167/$X297, 3.998167)</f>
        <v>1.8091253393665159</v>
      </c>
      <c r="AS297" s="68">
        <f>IF($Z$3="yes", 1.48380499999999/$X297, 1.48380499999999)</f>
        <v>0.67140497737556115</v>
      </c>
      <c r="AT297" s="68">
        <f>IF($Z$3="yes", 0.722624999999992/$X297, 0.722624999999992)</f>
        <v>0.32697963800904617</v>
      </c>
      <c r="AU297" s="88">
        <f>IF($Z$3="yes", 3.23874499999999/$X297, 3.23874499999999)</f>
        <v>1.4654954751131177</v>
      </c>
      <c r="AV297" s="88">
        <f>IF($Z$3="yes", 3.50601642857142/$X297, 3.50601642857142)</f>
        <v>1.5864327731092398</v>
      </c>
      <c r="AW297" s="88">
        <f>IF($Z$3="yes", 3.61869499999999/$X297, 3.61869499999999)</f>
        <v>1.6374185520361946</v>
      </c>
      <c r="AX297" s="88">
        <f>IF($Z$3="yes", 0.761179999999998/$X297, 0.761179999999998)</f>
        <v>0.34442533936651493</v>
      </c>
      <c r="AY297" s="88">
        <f>IF($Z$3="yes", 2.51612/$X297, 2.51612)</f>
        <v>1.1385158371040724</v>
      </c>
      <c r="AZ297" s="88">
        <f>IF($Z$3="yes", 2.78339142857143/$X297, 2.78339142857143)</f>
        <v>1.2594531351001945</v>
      </c>
      <c r="BA297" s="88">
        <f>IF($Z$3="yes", 2.89607/$X297, 2.89607)</f>
        <v>1.3104389140271493</v>
      </c>
      <c r="BB297" s="88">
        <f>IF($Z$3="yes", 1.75494/$X297, 1.75494)</f>
        <v>0.79409049773755658</v>
      </c>
      <c r="BC297" s="88">
        <f>IF($Z$3="yes", 2.02221142857143/$X297, 2.02221142857143)</f>
        <v>0.91502779573367865</v>
      </c>
      <c r="BD297" s="88">
        <f>IF($Z$3="yes", 2.13489/$X297, 2.13489)</f>
        <v>0.96601357466063353</v>
      </c>
      <c r="BE297" s="88">
        <f>IF($Z$3="yes", 0.267271428571429/$X297, 0.267271428571429)</f>
        <v>0.12093729799612171</v>
      </c>
      <c r="BF297" s="88">
        <f>IF($Z$3="yes", 0.379950000000002/$X297, 0.379950000000002)</f>
        <v>0.17192307692307784</v>
      </c>
      <c r="BG297" s="88">
        <f>IF($Z$3="yes", 0.112678571428572/$X297, 0.112678571428572)</f>
        <v>5.098577892695566E-2</v>
      </c>
      <c r="BH297" s="88">
        <f>IF($Z$3="yes", 1.55918337414966/$X297, 1.55918337414966)</f>
        <v>0.70551283898174655</v>
      </c>
      <c r="BI297" s="68"/>
      <c r="BJ297" s="68"/>
      <c r="BK297" s="68">
        <f>IF($BL$3="yes", MAX(0, (527423 - 723356.2) / 452860.240370646), 723356.2)</f>
        <v>723356.2</v>
      </c>
      <c r="BL297" s="68">
        <f>IF($BL$3="yes", MAX(0, (527423 - 632396.9) / 536950.179518817), 632396.9)</f>
        <v>632396.9</v>
      </c>
      <c r="BM297" s="68">
        <f>IF($BL$3="yes", MAX(0, (527423 - 734390.78) / 552898.625436501), 734390.78)</f>
        <v>734390.78</v>
      </c>
      <c r="BN297" s="68">
        <f>IF($BL$3="yes", MAX(0, (527423 - 587410.091999999) / 748611.819626999), 587410.091999999)</f>
        <v>587410.09199999901</v>
      </c>
      <c r="BO297" s="68">
        <f>IF($BL$3="yes", MAX(0, (527423 - 382685.502999999) / 603098.938926589), 382685.502999999)</f>
        <v>382685.50299999898</v>
      </c>
      <c r="BP297" s="68">
        <f>IF($BL$3="yes", MAX(0, (527423 - 198577.032) / 464982.032414435), 198577.032)</f>
        <v>198577.03200000001</v>
      </c>
      <c r="BQ297" s="68">
        <v>33.327116580368703</v>
      </c>
      <c r="BR297" s="68"/>
      <c r="BS297" s="68"/>
      <c r="BT297" s="68">
        <v>-707558.08037948934</v>
      </c>
      <c r="BU297" s="68">
        <v>-288859.94221433479</v>
      </c>
      <c r="BV297" s="68">
        <f>IF($Z$3="yes", 0.476235450787847/$X297, 0.476235450787847)</f>
        <v>0.21549115420264572</v>
      </c>
      <c r="BW297" s="68">
        <f>IF($Z$3="yes", 0.802646907767031/$X297, 0.802646907767031)</f>
        <v>0.36318864604843032</v>
      </c>
      <c r="BX297" s="68">
        <f>$BW$65 - $BV$65</f>
        <v>3.8843310418130134E-2</v>
      </c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81"/>
      <c r="CR297" s="81"/>
      <c r="CS297" s="68"/>
      <c r="CT297" s="68"/>
      <c r="CU297" s="68"/>
    </row>
    <row r="298" spans="1:99" ht="15.75" customHeight="1" thickBot="1" x14ac:dyDescent="0.3">
      <c r="A298" s="84" t="s">
        <v>194</v>
      </c>
      <c r="B298" s="67" t="s">
        <v>128</v>
      </c>
      <c r="C298" s="83" t="s">
        <v>665</v>
      </c>
      <c r="D298" s="67" t="s">
        <v>666</v>
      </c>
      <c r="E298" s="67">
        <v>1</v>
      </c>
      <c r="F298" s="85">
        <v>0.74</v>
      </c>
      <c r="G298" s="313">
        <v>44132</v>
      </c>
      <c r="H298" s="317">
        <v>0.43680000000000002</v>
      </c>
      <c r="I298" s="85">
        <v>1.45</v>
      </c>
      <c r="J298" s="313">
        <v>44244</v>
      </c>
      <c r="K298" s="125">
        <f t="shared" si="10"/>
        <v>-0.40972972972972965</v>
      </c>
      <c r="L298" s="261">
        <f t="shared" si="11"/>
        <v>0.95945945945945943</v>
      </c>
      <c r="M298" s="312">
        <v>44407</v>
      </c>
      <c r="N298" s="68"/>
      <c r="O298" s="291">
        <v>99049900</v>
      </c>
      <c r="P298" s="291">
        <v>93630000</v>
      </c>
      <c r="Q298" s="291">
        <v>112</v>
      </c>
      <c r="R298" s="68" t="s">
        <v>152</v>
      </c>
      <c r="S298" s="68" t="s">
        <v>148</v>
      </c>
      <c r="T298" s="68" t="s">
        <v>667</v>
      </c>
      <c r="U298" s="68">
        <v>1176</v>
      </c>
      <c r="V298" s="68">
        <v>12960067</v>
      </c>
      <c r="W298" s="68"/>
      <c r="X298" s="68">
        <v>0.8</v>
      </c>
      <c r="Y298" s="68">
        <v>0.60386899999999943</v>
      </c>
      <c r="Z298" s="68">
        <v>0.51904299999999914</v>
      </c>
      <c r="AA298" s="68">
        <v>0.5051960000000002</v>
      </c>
      <c r="AB298" s="68">
        <v>0.46980800000000023</v>
      </c>
      <c r="AC298" s="68">
        <v>0.58777000000000035</v>
      </c>
      <c r="AD298" s="68">
        <v>0.6256785714285712</v>
      </c>
      <c r="AE298" s="68">
        <v>0.70542500000000008</v>
      </c>
      <c r="AF298" s="68">
        <f>IF($Z$3="yes", -0.00184406735168377/$X298, -0.00184406735168377)</f>
        <v>-2.3050841896047124E-3</v>
      </c>
      <c r="AG298" s="68">
        <f>IF($Z$3="yes", 0.0000659951995201544/$X298, 0.0000659951995201544)</f>
        <v>8.2493999400192985E-5</v>
      </c>
      <c r="AH298" s="68">
        <f>IF($Z$3="yes", 0.00533971668667461/$X298, 0.00533971668667461)</f>
        <v>6.6746458583432618E-3</v>
      </c>
      <c r="AI298" s="68">
        <f>IF($Z$3="yes", 0.0006118223289315/$X298, 0.0006118223289315)</f>
        <v>7.6477791116437497E-4</v>
      </c>
      <c r="AJ298" s="68">
        <f>IF($Z$3="yes", 0.0142213533834584/$X298, 0.0142213533834584)</f>
        <v>1.7776691729322999E-2</v>
      </c>
      <c r="AK298" s="68">
        <f>IF($Z$3="yes", 0.0186995604395603/$X298, 0.0186995604395603)</f>
        <v>2.3374450549450372E-2</v>
      </c>
      <c r="AL298" s="68">
        <f>IF($Z$3="yes", -0.00789761904761747/$X298, -0.00789761904761747)</f>
        <v>-9.8720238095218373E-3</v>
      </c>
      <c r="AM298" s="68">
        <f>IF($Z$3="yes", 0.0848260000000002/$X298, 0.0848260000000002)</f>
        <v>0.10603250000000025</v>
      </c>
      <c r="AN298" s="68">
        <f>IF($Z$3="yes", 0.0986729999999992/$X298, 0.0986729999999992)</f>
        <v>0.123341249999999</v>
      </c>
      <c r="AO298" s="68">
        <f>IF($Z$3="yes", 0.134060999999999/$X298, 0.134060999999999)</f>
        <v>0.16757624999999873</v>
      </c>
      <c r="AP298" s="68">
        <f>IF($Z$3="yes", 0.016098999999999/$X298, 0.016098999999999)</f>
        <v>2.0123749999998747E-2</v>
      </c>
      <c r="AQ298" s="68">
        <f>IF($Z$3="yes", 0.0218095714285717/$X298, 0.0218095714285717)</f>
        <v>2.7261964285714622E-2</v>
      </c>
      <c r="AR298" s="68">
        <f>IF($Z$3="yes", 0.101556/$X298, 0.101556)</f>
        <v>0.12694499999999997</v>
      </c>
      <c r="AS298" s="68">
        <f>IF($Z$3="yes", 0.0138469999999989/$X298, 0.0138469999999989)</f>
        <v>1.7308749999998624E-2</v>
      </c>
      <c r="AT298" s="68">
        <f>IF($Z$3="yes", 0.0492349999999989/$X298, 0.0492349999999989)</f>
        <v>6.154374999999862E-2</v>
      </c>
      <c r="AU298" s="88">
        <f>IF($Z$3="yes", 0.0687270000000012/$X298, 0.0687270000000012)</f>
        <v>8.5908750000001505E-2</v>
      </c>
      <c r="AV298" s="88">
        <f>IF($Z$3="yes", 0.106635571428572/$X298, 0.106635571428572)</f>
        <v>0.13329446428571498</v>
      </c>
      <c r="AW298" s="88">
        <f>IF($Z$3="yes", 0.186382/$X298, 0.186382)</f>
        <v>0.23297749999999998</v>
      </c>
      <c r="AX298" s="88">
        <f>IF($Z$3="yes", 0.0353879999999999/$X298, 0.0353879999999999)</f>
        <v>4.4234999999999872E-2</v>
      </c>
      <c r="AY298" s="88">
        <f>IF($Z$3="yes", 0.117962/$X298, 0.117962)</f>
        <v>0.14745249999999999</v>
      </c>
      <c r="AZ298" s="88">
        <f>IF($Z$3="yes", 0.15587057142857/$X298, 0.15587057142857)</f>
        <v>0.19483821428571249</v>
      </c>
      <c r="BA298" s="88">
        <f>IF($Z$3="yes", 0.235616999999999/$X298, 0.235616999999999)</f>
        <v>0.29452124999999874</v>
      </c>
      <c r="BB298" s="88">
        <f>IF($Z$3="yes", 0.0825740000000001/$X298, 0.0825740000000001)</f>
        <v>0.10321750000000013</v>
      </c>
      <c r="BC298" s="88">
        <f>IF($Z$3="yes", 0.120482571428571/$X298, 0.120482571428571)</f>
        <v>0.15060321428571374</v>
      </c>
      <c r="BD298" s="88">
        <f>IF($Z$3="yes", 0.200228999999999/$X298, 0.200228999999999)</f>
        <v>0.25028624999999871</v>
      </c>
      <c r="BE298" s="88">
        <f>IF($Z$3="yes", 0.0379085714285708/$X298, 0.0379085714285708)</f>
        <v>4.7385714285713497E-2</v>
      </c>
      <c r="BF298" s="88">
        <f>IF($Z$3="yes", 0.117654999999999/$X298, 0.117654999999999)</f>
        <v>0.14706874999999875</v>
      </c>
      <c r="BG298" s="88">
        <f>IF($Z$3="yes", 0.0797464285714288/$X298, 0.0797464285714288)</f>
        <v>9.9683035714285995E-2</v>
      </c>
      <c r="BH298" s="88">
        <f>IF($Z$3="yes", 0.132764870748299/$X298, 0.132764870748299)</f>
        <v>0.16595608843537377</v>
      </c>
      <c r="BI298" s="68"/>
      <c r="BJ298" s="68"/>
      <c r="BK298" s="68">
        <f>IF($BL$3="yes", MAX(0, (12960067 - 6719116.2) / 5323921.35568185), 6719116.2)</f>
        <v>6719116.2000000002</v>
      </c>
      <c r="BL298" s="68">
        <f>IF($BL$3="yes", MAX(0, (12960067 - 7107638.5) / 8776939.15466194), 7107638.5)</f>
        <v>7107638.5</v>
      </c>
      <c r="BM298" s="68">
        <f>IF($BL$3="yes", MAX(0, (12960067 - 3583919) / 7136869.20855597), 3583919)</f>
        <v>3583919</v>
      </c>
      <c r="BN298" s="68">
        <f>IF($BL$3="yes", MAX(0, (12960067 - 1492000.82) / 4826241.57313555), 1492000.82)</f>
        <v>1492000.82</v>
      </c>
      <c r="BO298" s="68">
        <f>IF($BL$3="yes", MAX(0, (12960067 - 904922.22) / 3472666.31306575), 904922.22)</f>
        <v>904922.22</v>
      </c>
      <c r="BP298" s="68">
        <f>IF($BL$3="yes", MAX(0, (12960067 - 600854.19) / 2536137.33584424), 600854.19)</f>
        <v>600854.18999999994</v>
      </c>
      <c r="BQ298" s="68">
        <v>63.85189155913401</v>
      </c>
      <c r="BR298" s="68"/>
      <c r="BS298" s="68"/>
      <c r="BT298" s="68">
        <v>-15105542.0807932</v>
      </c>
      <c r="BU298" s="68">
        <v>-1884605.1417496731</v>
      </c>
      <c r="BV298" s="68">
        <f>IF($Z$3="yes", 0.139962909042882/$X298, 0.139962909042882)</f>
        <v>0.1749536363036025</v>
      </c>
      <c r="BW298" s="68">
        <f>IF($Z$3="yes", 0.0443544731259004/$X298, 0.0443544731259004)</f>
        <v>5.5443091407375494E-2</v>
      </c>
      <c r="BX298" s="68">
        <f>$BW$64 - $BV$64</f>
        <v>2.1788296131225626E-2</v>
      </c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  <c r="CQ298" s="81"/>
      <c r="CR298" s="81"/>
      <c r="CS298" s="68"/>
      <c r="CT298" s="68"/>
      <c r="CU298" s="68"/>
    </row>
    <row r="299" spans="1:99" ht="15.75" customHeight="1" thickBot="1" x14ac:dyDescent="0.3">
      <c r="A299" s="84" t="s">
        <v>194</v>
      </c>
      <c r="B299" s="67" t="s">
        <v>128</v>
      </c>
      <c r="C299" s="83" t="s">
        <v>668</v>
      </c>
      <c r="D299" s="67" t="s">
        <v>669</v>
      </c>
      <c r="E299" s="67">
        <v>1</v>
      </c>
      <c r="F299" s="85">
        <v>2.5499999999999998</v>
      </c>
      <c r="G299" s="313">
        <v>44130</v>
      </c>
      <c r="H299" s="317">
        <v>3.41</v>
      </c>
      <c r="I299" s="85">
        <v>7.81</v>
      </c>
      <c r="J299" s="313">
        <v>44277</v>
      </c>
      <c r="K299" s="171">
        <f t="shared" si="10"/>
        <v>0.33725490196078445</v>
      </c>
      <c r="L299" s="149">
        <f t="shared" si="11"/>
        <v>2.0627450980392159</v>
      </c>
      <c r="M299" s="312">
        <v>44407</v>
      </c>
      <c r="N299" s="68"/>
      <c r="O299" s="291">
        <v>10989566</v>
      </c>
      <c r="P299" s="291">
        <v>7820000</v>
      </c>
      <c r="Q299" s="291">
        <v>147</v>
      </c>
      <c r="R299" s="68" t="s">
        <v>131</v>
      </c>
      <c r="S299" s="68"/>
      <c r="T299" s="67" t="s">
        <v>408</v>
      </c>
      <c r="U299" s="68">
        <v>440</v>
      </c>
      <c r="V299" s="68">
        <v>70976</v>
      </c>
      <c r="W299" s="68"/>
      <c r="X299" s="68">
        <v>2.5499999999999998</v>
      </c>
      <c r="Y299" s="68" t="e">
        <v>#N/A</v>
      </c>
      <c r="Z299" s="68" t="e">
        <v>#N/A</v>
      </c>
      <c r="AA299" s="68" t="e">
        <v>#N/A</v>
      </c>
      <c r="AB299" s="68" t="e">
        <v>#N/A</v>
      </c>
      <c r="AC299" s="68">
        <v>2.8001749999999999</v>
      </c>
      <c r="AD299" s="68">
        <v>2.8298642857142839</v>
      </c>
      <c r="AE299" s="68">
        <v>2.74125</v>
      </c>
      <c r="AF299" s="68" t="e">
        <f>IF($Z$3="yes", #N/A/$X299, #N/A)</f>
        <v>#N/A</v>
      </c>
      <c r="AG299" s="68" t="e">
        <f>IF($Z$3="yes", #N/A/$X299, #N/A)</f>
        <v>#N/A</v>
      </c>
      <c r="AH299" s="68" t="e">
        <f>IF($Z$3="yes", #N/A/$X299, #N/A)</f>
        <v>#N/A</v>
      </c>
      <c r="AI299" s="68" t="e">
        <f>IF($Z$3="yes", #N/A/$X299, #N/A)</f>
        <v>#N/A</v>
      </c>
      <c r="AJ299" s="68">
        <f>IF($Z$3="yes", -0.00298248120300775/$X299, -0.00298248120300775)</f>
        <v>-1.1696004717677451E-3</v>
      </c>
      <c r="AK299" s="68">
        <f>IF($Z$3="yes", -0.0279654945054941/$X299, -0.0279654945054941)</f>
        <v>-1.0966860590389843E-2</v>
      </c>
      <c r="AL299" s="68">
        <f>IF($Z$3="yes", -0.0203571428571443/$X299, -0.0203571428571443)</f>
        <v>-7.983193277311491E-3</v>
      </c>
      <c r="AM299" s="68"/>
      <c r="AN299" s="68"/>
      <c r="AO299" s="68"/>
      <c r="AP299" s="68"/>
      <c r="AQ299" s="68"/>
      <c r="AR299" s="68"/>
      <c r="AS299" s="68"/>
      <c r="AT299" s="68"/>
      <c r="AU299" s="88"/>
      <c r="AV299" s="88"/>
      <c r="AW299" s="88"/>
      <c r="AX299" s="88"/>
      <c r="AY299" s="88"/>
      <c r="AZ299" s="88"/>
      <c r="BA299" s="88"/>
      <c r="BB299" s="88"/>
      <c r="BC299" s="88"/>
      <c r="BD299" s="88"/>
      <c r="BE299" s="88">
        <f>IF($Z$3="yes", 0.029689285714284/$X299, 0.029689285714284)</f>
        <v>1.1642857142856471E-2</v>
      </c>
      <c r="BF299" s="88">
        <f>IF($Z$3="yes", 0.0589250000000007/$X299, 0.0589250000000007)</f>
        <v>2.3107843137255179E-2</v>
      </c>
      <c r="BG299" s="88">
        <f>IF($Z$3="yes", 0.0886142857142848/$X299, 0.0886142857142848)</f>
        <v>3.4750700280111686E-2</v>
      </c>
      <c r="BH299" s="88">
        <f>IF($Z$3="yes", 0.273730612244897/$X299, 0.273730612244897)</f>
        <v>0.10734533813525372</v>
      </c>
      <c r="BI299" s="68"/>
      <c r="BJ299" s="68"/>
      <c r="BK299" s="68">
        <f>IF($BL$3="yes", MAX(0, (70976 - 334649) / 450050.748449549), 334649)</f>
        <v>334649</v>
      </c>
      <c r="BL299" s="68">
        <f>IF($BL$3="yes", MAX(0, (70976 - 171503.3) / 357646.391613574), 171503.3)</f>
        <v>171503.3</v>
      </c>
      <c r="BM299" s="68">
        <f>IF($BL$3="yes", MAX(0, (70976 - 97827.9) / 263959.869898418), 97827.9)</f>
        <v>97827.9</v>
      </c>
      <c r="BN299" s="68">
        <f>IF($BL$3="yes", MAX(0, (70976 - 85521.03125) / 215647.31723631), 85521.03125)</f>
        <v>85521.03125</v>
      </c>
      <c r="BO299" s="68">
        <f>IF($BL$3="yes", MAX(0, (70976 - 85521.03125) / 215647.31723631), 85521.03125)</f>
        <v>85521.03125</v>
      </c>
      <c r="BP299" s="68">
        <f>IF($BL$3="yes", MAX(0, (70976 - 85521.03125) / 215647.31723631), 85521.03125)</f>
        <v>85521.03125</v>
      </c>
      <c r="BQ299" s="68">
        <v>34.505192852755009</v>
      </c>
      <c r="BR299" s="68"/>
      <c r="BS299" s="68"/>
      <c r="BT299" s="68">
        <v>-1549474.0826133869</v>
      </c>
      <c r="BU299" s="68">
        <v>-245462.0944045028</v>
      </c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81"/>
      <c r="CR299" s="81"/>
      <c r="CS299" s="68"/>
      <c r="CT299" s="68"/>
      <c r="CU299" s="68"/>
    </row>
    <row r="300" spans="1:99" ht="15.75" customHeight="1" thickBot="1" x14ac:dyDescent="0.3">
      <c r="A300" s="84"/>
      <c r="B300" s="67" t="s">
        <v>128</v>
      </c>
      <c r="C300" s="83" t="s">
        <v>670</v>
      </c>
      <c r="D300" s="67" t="s">
        <v>671</v>
      </c>
      <c r="E300" s="67">
        <v>1</v>
      </c>
      <c r="F300" s="85">
        <v>1.74</v>
      </c>
      <c r="G300" s="313">
        <v>44130</v>
      </c>
      <c r="H300" s="317">
        <v>2.27</v>
      </c>
      <c r="I300" s="85">
        <v>3.74</v>
      </c>
      <c r="J300" s="313">
        <v>44221</v>
      </c>
      <c r="K300" s="148">
        <f t="shared" si="10"/>
        <v>0.30459770114942541</v>
      </c>
      <c r="L300" s="218">
        <f t="shared" si="11"/>
        <v>1.1494252873563218</v>
      </c>
      <c r="M300" s="312">
        <v>44407</v>
      </c>
      <c r="N300" s="68"/>
      <c r="O300" s="291">
        <v>37310254</v>
      </c>
      <c r="P300" s="291">
        <v>11450000</v>
      </c>
      <c r="Q300" s="291">
        <v>91</v>
      </c>
      <c r="R300" s="68" t="s">
        <v>131</v>
      </c>
      <c r="S300" s="68" t="s">
        <v>148</v>
      </c>
      <c r="T300" s="68" t="s">
        <v>154</v>
      </c>
      <c r="U300" s="68">
        <v>464</v>
      </c>
      <c r="V300" s="68">
        <v>2960356</v>
      </c>
      <c r="W300" s="68"/>
      <c r="X300" s="68">
        <v>1.72</v>
      </c>
      <c r="Y300" s="68">
        <v>3.178344500000001</v>
      </c>
      <c r="Z300" s="68">
        <v>2.7201200000000099</v>
      </c>
      <c r="AA300" s="68">
        <v>2.4357000000000002</v>
      </c>
      <c r="AB300" s="68">
        <v>2.617500000000001</v>
      </c>
      <c r="AC300" s="68">
        <v>2.029250000000002</v>
      </c>
      <c r="AD300" s="68">
        <v>1.9978571428571421</v>
      </c>
      <c r="AE300" s="68">
        <v>1.9700000000000011</v>
      </c>
      <c r="AF300" s="68">
        <f>IF($Z$3="yes", -0.0125186377409437/$X300, -0.0125186377409437)</f>
        <v>-7.2782777563626163E-3</v>
      </c>
      <c r="AG300" s="68">
        <f>IF($Z$3="yes", -0.0109849384938508/$X300, -0.0109849384938508)</f>
        <v>-6.3865921475876747E-3</v>
      </c>
      <c r="AH300" s="68">
        <f>IF($Z$3="yes", -0.0210081632653061/$X300, -0.0210081632653061)</f>
        <v>-1.2214048410061686E-2</v>
      </c>
      <c r="AI300" s="68">
        <f>IF($Z$3="yes", -0.0163085234093637/$X300, -0.0163085234093637)</f>
        <v>-9.4816996566068033E-3</v>
      </c>
      <c r="AJ300" s="68">
        <f>IF($Z$3="yes", -0.0127706766917303/$X300, -0.0127706766917303)</f>
        <v>-7.4248120300757555E-3</v>
      </c>
      <c r="AK300" s="68">
        <f>IF($Z$3="yes", -0.0190109890109909/$X300, -0.0190109890109909)</f>
        <v>-1.1052900587785408E-2</v>
      </c>
      <c r="AL300" s="68">
        <f>IF($Z$3="yes", -0.0609523809523989/$X300, -0.0609523809523989)</f>
        <v>-3.543743078627843E-2</v>
      </c>
      <c r="AM300" s="68">
        <f>IF($Z$3="yes", 0.45822449999999/$X300, 0.45822449999999)</f>
        <v>0.26640959302325001</v>
      </c>
      <c r="AN300" s="68">
        <f>IF($Z$3="yes", 0.742644500000001/$X300, 0.742644500000001)</f>
        <v>0.43177005813953551</v>
      </c>
      <c r="AO300" s="68">
        <f>IF($Z$3="yes", 0.5608445/$X300, 0.5608445)</f>
        <v>0.32607238372093023</v>
      </c>
      <c r="AP300" s="68">
        <f>IF($Z$3="yes", 1.1490945/$X300, 1.1490945)</f>
        <v>0.66807819767441856</v>
      </c>
      <c r="AQ300" s="68">
        <f>IF($Z$3="yes", 1.18048735714285/$X300, 1.18048735714285)</f>
        <v>0.68632985880398256</v>
      </c>
      <c r="AR300" s="68">
        <f>IF($Z$3="yes", 1.2083445/$X300, 1.2083445)</f>
        <v>0.7025258720930232</v>
      </c>
      <c r="AS300" s="68">
        <f>IF($Z$3="yes", 0.28442000000001/$X300, 0.28442000000001)</f>
        <v>0.16536046511628488</v>
      </c>
      <c r="AT300" s="68">
        <f>IF($Z$3="yes", 0.102620000000009/$X300, 0.102620000000009)</f>
        <v>5.966279069767965E-2</v>
      </c>
      <c r="AU300" s="88">
        <f>IF($Z$3="yes", 0.690870000000008/$X300, 0.690870000000008)</f>
        <v>0.40166860465116744</v>
      </c>
      <c r="AV300" s="88">
        <f>IF($Z$3="yes", 0.722262857142868/$X300, 0.722262857142868)</f>
        <v>0.41992026578073721</v>
      </c>
      <c r="AW300" s="88">
        <f>IF($Z$3="yes", 0.750120000000009/$X300, 0.750120000000009)</f>
        <v>0.43611627906977268</v>
      </c>
      <c r="AX300" s="88">
        <f>IF($Z$3="yes", 0.1818/$X300, 0.1818)</f>
        <v>0.10569767441860464</v>
      </c>
      <c r="AY300" s="88">
        <f>IF($Z$3="yes", 0.588249999999999/$X300, 0.588249999999999)</f>
        <v>0.34200581395348784</v>
      </c>
      <c r="AZ300" s="88">
        <f>IF($Z$3="yes", 0.619642857142858/$X300, 0.619642857142858)</f>
        <v>0.360257475083057</v>
      </c>
      <c r="BA300" s="88">
        <f>IF($Z$3="yes", 0.6475/$X300, 0.6475)</f>
        <v>0.37645348837209303</v>
      </c>
      <c r="BB300" s="88">
        <f>IF($Z$3="yes", 0.406449999999998/$X300, 0.406449999999998)</f>
        <v>0.23630813953488256</v>
      </c>
      <c r="BC300" s="88">
        <f>IF($Z$3="yes", 0.437842857142857/$X300, 0.437842857142857)</f>
        <v>0.25455980066445172</v>
      </c>
      <c r="BD300" s="88">
        <f>IF($Z$3="yes", 0.465699999999999/$X300, 0.465699999999999)</f>
        <v>0.2707558139534878</v>
      </c>
      <c r="BE300" s="88">
        <f>IF($Z$3="yes", 0.0313928571428592/$X300, 0.0313928571428592)</f>
        <v>1.8251661129569302E-2</v>
      </c>
      <c r="BF300" s="88">
        <f>IF($Z$3="yes", 0.0592500000000009/$X300, 0.0592500000000009)</f>
        <v>3.4447674418605176E-2</v>
      </c>
      <c r="BG300" s="88">
        <f>IF($Z$3="yes", 0.0278571428571416/$X300, 0.0278571428571416)</f>
        <v>1.6196013289035815E-2</v>
      </c>
      <c r="BH300" s="88">
        <f>IF($Z$3="yes", 0.549157795918367/$X300, 0.549157795918367)</f>
        <v>0.31927778832463199</v>
      </c>
      <c r="BI300" s="68"/>
      <c r="BJ300" s="68"/>
      <c r="BK300" s="68">
        <f>IF($BL$3="yes", MAX(0, (2960356 - 1641164.2) / 749094.694590049), 1641164.2)</f>
        <v>1641164.2</v>
      </c>
      <c r="BL300" s="68">
        <f>IF($BL$3="yes", MAX(0, (2960356 - 1509359.5) / 753971.31423765), 1509359.5)</f>
        <v>1509359.5</v>
      </c>
      <c r="BM300" s="68">
        <f>IF($BL$3="yes", MAX(0, (2960356 - 881081.8) / 828012.310049591), 881081.8)</f>
        <v>881081.8</v>
      </c>
      <c r="BN300" s="68">
        <f>IF($BL$3="yes", MAX(0, (2960356 - 431469.7) / 644095.818159542), 431469.7)</f>
        <v>431469.7</v>
      </c>
      <c r="BO300" s="68">
        <f>IF($BL$3="yes", MAX(0, (2960356 - 335166.65) / 509580.99503426), 335166.65)</f>
        <v>335166.65000000002</v>
      </c>
      <c r="BP300" s="68">
        <f>IF($BL$3="yes", MAX(0, (2960356 - 179193.89) / 393607.888166634), 179193.89)</f>
        <v>179193.89</v>
      </c>
      <c r="BQ300" s="68">
        <v>25.321251522035841</v>
      </c>
      <c r="BR300" s="68"/>
      <c r="BS300" s="68"/>
      <c r="BT300" s="68">
        <v>-10496893.35885451</v>
      </c>
      <c r="BU300" s="68">
        <v>-601283.23249322455</v>
      </c>
      <c r="BV300" s="68">
        <f>IF($Z$3="yes", 0.160886940942704/$X300, 0.160886940942704)</f>
        <v>9.3538919152734892E-2</v>
      </c>
      <c r="BW300" s="68">
        <f>IF($Z$3="yes", 0.195431360619502/$X300, 0.195431360619502)</f>
        <v>0.11362288408110582</v>
      </c>
      <c r="BX300" s="68">
        <f>$BW$63 - $BV$63</f>
        <v>7.8214502003867287E-3</v>
      </c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  <c r="CQ300" s="81"/>
      <c r="CR300" s="81"/>
      <c r="CS300" s="68"/>
      <c r="CT300" s="68"/>
      <c r="CU300" s="68"/>
    </row>
    <row r="301" spans="1:99" ht="15.75" customHeight="1" thickBot="1" x14ac:dyDescent="0.3">
      <c r="A301" s="84"/>
      <c r="B301" s="67" t="s">
        <v>128</v>
      </c>
      <c r="C301" s="83" t="s">
        <v>672</v>
      </c>
      <c r="D301" s="67" t="s">
        <v>673</v>
      </c>
      <c r="E301" s="67">
        <v>1</v>
      </c>
      <c r="F301" s="85">
        <v>0.83</v>
      </c>
      <c r="G301" s="313">
        <v>44130</v>
      </c>
      <c r="H301" s="317">
        <v>1.24</v>
      </c>
      <c r="I301" s="85">
        <v>2.95</v>
      </c>
      <c r="J301" s="313">
        <v>44274</v>
      </c>
      <c r="K301" s="262">
        <f t="shared" si="10"/>
        <v>0.49397590361445798</v>
      </c>
      <c r="L301" s="149">
        <f t="shared" si="11"/>
        <v>2.5542168674698797</v>
      </c>
      <c r="M301" s="312">
        <v>44407</v>
      </c>
      <c r="N301" s="68"/>
      <c r="O301" s="291">
        <v>19998</v>
      </c>
      <c r="P301" s="291">
        <v>15420000</v>
      </c>
      <c r="Q301" s="291">
        <v>144</v>
      </c>
      <c r="R301" s="68" t="s">
        <v>147</v>
      </c>
      <c r="S301" s="68" t="s">
        <v>148</v>
      </c>
      <c r="T301" s="67" t="s">
        <v>278</v>
      </c>
      <c r="U301" s="68">
        <v>236</v>
      </c>
      <c r="V301" s="68">
        <v>503569</v>
      </c>
      <c r="W301" s="68"/>
      <c r="X301" s="68">
        <v>0.83299999999999996</v>
      </c>
      <c r="Y301" s="68">
        <v>1.0272915000000009</v>
      </c>
      <c r="Z301" s="68">
        <v>1.254076</v>
      </c>
      <c r="AA301" s="68">
        <v>0.90955199999999992</v>
      </c>
      <c r="AB301" s="68">
        <v>1.0291459999999999</v>
      </c>
      <c r="AC301" s="68">
        <v>0.81981000000000026</v>
      </c>
      <c r="AD301" s="68">
        <v>0.83689999999999998</v>
      </c>
      <c r="AE301" s="68">
        <v>0.83837499999999954</v>
      </c>
      <c r="AF301" s="68">
        <f>IF($Z$3="yes", 0.00270458823970596/$X301, 0.00270458823970596)</f>
        <v>3.2468046094909484E-3</v>
      </c>
      <c r="AG301" s="68">
        <f>IF($Z$3="yes", -0.0131940978097811/$X301, -0.0131940978097811)</f>
        <v>-1.5839253072966509E-2</v>
      </c>
      <c r="AH301" s="68">
        <f>IF($Z$3="yes", -0.00783320048019188/$X301, -0.00783320048019188)</f>
        <v>-9.4036020170370702E-3</v>
      </c>
      <c r="AI301" s="68">
        <f>IF($Z$3="yes", -0.0158834717887153/$X301, -0.0158834717887153)</f>
        <v>-1.9067793263763868E-2</v>
      </c>
      <c r="AJ301" s="68">
        <f>IF($Z$3="yes", 0.0038711278195492/$X301, 0.0038711278195492)</f>
        <v>4.6472122683663868E-3</v>
      </c>
      <c r="AK301" s="68">
        <f>IF($Z$3="yes", 0.000469890109889378/$X301, 0.000469890109889378)</f>
        <v>5.640937693750037E-4</v>
      </c>
      <c r="AL301" s="68">
        <f>IF($Z$3="yes", 0.00291904761905824/$X301, 0.00291904761905824)</f>
        <v>3.5042588464084517E-3</v>
      </c>
      <c r="AM301" s="68">
        <f>IF($Z$3="yes", 0.226784499999999/$X301, 0.226784499999999)</f>
        <v>0.27225030012004681</v>
      </c>
      <c r="AN301" s="68">
        <f>IF($Z$3="yes", 0.1177395/$X301, 0.1177395)</f>
        <v>0.14134393757503003</v>
      </c>
      <c r="AO301" s="68">
        <f>IF($Z$3="yes", 0.00185449999999942/$X301, 0.00185449999999942)</f>
        <v>2.2262905162057866E-3</v>
      </c>
      <c r="AP301" s="68">
        <f>IF($Z$3="yes", 0.2074815/$X301, 0.2074815)</f>
        <v>0.24907743097238899</v>
      </c>
      <c r="AQ301" s="68">
        <f>IF($Z$3="yes", 0.1903915/$X301, 0.1903915)</f>
        <v>0.22856122448979591</v>
      </c>
      <c r="AR301" s="68">
        <f>IF($Z$3="yes", 0.188916500000001/$X301, 0.188916500000001)</f>
        <v>0.2267905162064838</v>
      </c>
      <c r="AS301" s="68">
        <f>IF($Z$3="yes", 0.344524/$X301, 0.344524)</f>
        <v>0.41359423769507803</v>
      </c>
      <c r="AT301" s="68">
        <f>IF($Z$3="yes", 0.22493/$X301, 0.22493)</f>
        <v>0.27002400960384154</v>
      </c>
      <c r="AU301" s="88">
        <f>IF($Z$3="yes", 0.434266/$X301, 0.434266)</f>
        <v>0.52132773109243702</v>
      </c>
      <c r="AV301" s="88">
        <f>IF($Z$3="yes", 0.417176/$X301, 0.417176)</f>
        <v>0.50081152460984391</v>
      </c>
      <c r="AW301" s="88">
        <f>IF($Z$3="yes", 0.415701/$X301, 0.415701)</f>
        <v>0.49904081632653063</v>
      </c>
      <c r="AX301" s="88">
        <f>IF($Z$3="yes", 0.119594/$X301, 0.119594)</f>
        <v>0.14357022809123651</v>
      </c>
      <c r="AY301" s="88">
        <f>IF($Z$3="yes", 0.209335999999999/$X301, 0.209335999999999)</f>
        <v>0.25130372148859426</v>
      </c>
      <c r="AZ301" s="88">
        <f>IF($Z$3="yes", 0.192246/$X301, 0.192246)</f>
        <v>0.23078751500600242</v>
      </c>
      <c r="BA301" s="88">
        <f>IF($Z$3="yes", 0.190771/$X301, 0.190771)</f>
        <v>0.22901680672268909</v>
      </c>
      <c r="BB301" s="88">
        <f>IF($Z$3="yes", 0.0897419999999996/$X301, 0.0897419999999996)</f>
        <v>0.10773349339735847</v>
      </c>
      <c r="BC301" s="88">
        <f>IF($Z$3="yes", 0.0726519999999999/$X301, 0.0726519999999999)</f>
        <v>8.7217286914765782E-2</v>
      </c>
      <c r="BD301" s="88">
        <f>IF($Z$3="yes", 0.0711770000000003/$X301, 0.0711770000000003)</f>
        <v>8.5446578631452941E-2</v>
      </c>
      <c r="BE301" s="88">
        <f>IF($Z$3="yes", 0.0170899999999997/$X301, 0.0170899999999997)</f>
        <v>2.0516206482592676E-2</v>
      </c>
      <c r="BF301" s="88">
        <f>IF($Z$3="yes", 0.0185649999999992/$X301, 0.0185649999999992)</f>
        <v>2.2286914765905403E-2</v>
      </c>
      <c r="BG301" s="88">
        <f>IF($Z$3="yes", 0.00147499999999956/$X301, 0.00147499999999956)</f>
        <v>1.7707082833127972E-3</v>
      </c>
      <c r="BH301" s="88">
        <f>IF($Z$3="yes", 0.154598428571428/$X301, 0.154598428571428)</f>
        <v>0.1855923512262041</v>
      </c>
      <c r="BI301" s="68"/>
      <c r="BJ301" s="68"/>
      <c r="BK301" s="68">
        <f>IF($BL$3="yes", MAX(0, (503569 - 397777.8) / 239327.774138648), 397777.8)</f>
        <v>397777.8</v>
      </c>
      <c r="BL301" s="68">
        <f>IF($BL$3="yes", MAX(0, (503569 - 251128.4) / 226159.978509107), 251128.4)</f>
        <v>251128.4</v>
      </c>
      <c r="BM301" s="68">
        <f>IF($BL$3="yes", MAX(0, (503569 - 500649.15) / 1144639.15135601), 500649.15)</f>
        <v>500649.15</v>
      </c>
      <c r="BN301" s="68">
        <f>IF($BL$3="yes", MAX(0, (503569 - 421097.82) / 784520.630342343), 421097.82)</f>
        <v>421097.82</v>
      </c>
      <c r="BO301" s="68">
        <f>IF($BL$3="yes", MAX(0, (503569 - 1041850.6) / 3198037.55135912), 1041850.6)</f>
        <v>1041850.6</v>
      </c>
      <c r="BP301" s="68">
        <f>IF($BL$3="yes", MAX(0, (503569 - 1360988.77) / 5081600.11959265), 1360988.77)</f>
        <v>1360988.77</v>
      </c>
      <c r="BQ301" s="68">
        <v>47.196933510417949</v>
      </c>
      <c r="BR301" s="68"/>
      <c r="BS301" s="68"/>
      <c r="BT301" s="68">
        <v>-59761201.567088246</v>
      </c>
      <c r="BU301" s="68">
        <v>176500.5757536832</v>
      </c>
      <c r="BV301" s="68">
        <f>IF($Z$3="yes", 0.0744300599462847/$X301, 0.0744300599462847)</f>
        <v>8.9351812660605878E-2</v>
      </c>
      <c r="BW301" s="68">
        <f>IF($Z$3="yes", 0.100657882699349/$X301, 0.100657882699349)</f>
        <v>0.12083779435696158</v>
      </c>
      <c r="BX301" s="68">
        <f>$BW$62 - $BV$62</f>
        <v>8.8196916214585114E-2</v>
      </c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  <c r="CQ301" s="81"/>
      <c r="CR301" s="81"/>
      <c r="CS301" s="68"/>
      <c r="CT301" s="68"/>
      <c r="CU301" s="68"/>
    </row>
    <row r="302" spans="1:99" ht="15.75" customHeight="1" thickBot="1" x14ac:dyDescent="0.3">
      <c r="A302" s="84" t="s">
        <v>194</v>
      </c>
      <c r="B302" s="67" t="s">
        <v>128</v>
      </c>
      <c r="C302" s="83" t="s">
        <v>674</v>
      </c>
      <c r="D302" s="67" t="s">
        <v>325</v>
      </c>
      <c r="E302" s="67">
        <v>1</v>
      </c>
      <c r="F302" s="85">
        <v>0.74</v>
      </c>
      <c r="G302" s="313">
        <v>44118</v>
      </c>
      <c r="H302" s="317">
        <v>0.90539999999999998</v>
      </c>
      <c r="I302" s="85">
        <v>3.66</v>
      </c>
      <c r="J302" s="313">
        <v>44249</v>
      </c>
      <c r="K302" s="263">
        <f t="shared" si="10"/>
        <v>0.22351351351351356</v>
      </c>
      <c r="L302" s="149">
        <f t="shared" si="11"/>
        <v>3.9459459459459465</v>
      </c>
      <c r="M302" s="312">
        <v>44407</v>
      </c>
      <c r="N302" s="68"/>
      <c r="O302" s="291">
        <v>25135000</v>
      </c>
      <c r="P302" s="291">
        <v>11790000</v>
      </c>
      <c r="Q302" s="291">
        <v>131</v>
      </c>
      <c r="R302" s="68" t="s">
        <v>152</v>
      </c>
      <c r="S302" s="68" t="s">
        <v>148</v>
      </c>
      <c r="T302" s="68" t="s">
        <v>326</v>
      </c>
      <c r="U302" s="68">
        <v>604</v>
      </c>
      <c r="V302" s="68">
        <v>1545382</v>
      </c>
      <c r="W302" s="68"/>
      <c r="X302" s="68">
        <v>0.72799999999999998</v>
      </c>
      <c r="Y302" s="68">
        <v>0.79807749999999933</v>
      </c>
      <c r="Z302" s="68">
        <v>0.85479299999999925</v>
      </c>
      <c r="AA302" s="68">
        <v>0.63310199999999994</v>
      </c>
      <c r="AB302" s="68">
        <v>0.70254200000000011</v>
      </c>
      <c r="AC302" s="68">
        <v>0.54441999999999935</v>
      </c>
      <c r="AD302" s="68">
        <v>0.55154285714285756</v>
      </c>
      <c r="AE302" s="68">
        <v>0.5856125000000002</v>
      </c>
      <c r="AF302" s="68">
        <f>IF($Z$3="yes", -0.000832607590189711/$X302, -0.000832607590189711)</f>
        <v>-1.1436917447660865E-3</v>
      </c>
      <c r="AG302" s="68">
        <f>IF($Z$3="yes", -0.00772701890189009/$X302, -0.00772701890189009)</f>
        <v>-1.0614036953145728E-2</v>
      </c>
      <c r="AH302" s="68">
        <f>IF($Z$3="yes", -0.00700522929171669/$X302, -0.00700522929171669)</f>
        <v>-9.6225677084020474E-3</v>
      </c>
      <c r="AI302" s="68">
        <f>IF($Z$3="yes", -0.0108613637454982/$X302, -0.0108613637454982)</f>
        <v>-1.491945569436566E-2</v>
      </c>
      <c r="AJ302" s="68">
        <f>IF($Z$3="yes", 0.00557488721804601/$X302, 0.00557488721804601)</f>
        <v>7.6578121127005632E-3</v>
      </c>
      <c r="AK302" s="68">
        <f>IF($Z$3="yes", 0.0133494505494508/$X302, 0.0133494505494508)</f>
        <v>1.8337157348146702E-2</v>
      </c>
      <c r="AL302" s="68">
        <f>IF($Z$3="yes", 0.0283726190476218/$X302, 0.0283726190476218)</f>
        <v>3.8973377812667312E-2</v>
      </c>
      <c r="AM302" s="68">
        <f>IF($Z$3="yes", 0.0567154999999999/$X302, 0.0567154999999999)</f>
        <v>7.790590659340646E-2</v>
      </c>
      <c r="AN302" s="68">
        <f>IF($Z$3="yes", 0.164975499999999/$X302, 0.164975499999999)</f>
        <v>0.22661469780219642</v>
      </c>
      <c r="AO302" s="68">
        <f>IF($Z$3="yes", 0.0955354999999992/$X302, 0.0955354999999992)</f>
        <v>0.13123008241758133</v>
      </c>
      <c r="AP302" s="68">
        <f>IF($Z$3="yes", 0.2536575/$X302, 0.2536575)</f>
        <v>0.34843063186813183</v>
      </c>
      <c r="AQ302" s="68">
        <f>IF($Z$3="yes", 0.246534642857141/$X302, 0.246534642857141)</f>
        <v>0.33864648744112774</v>
      </c>
      <c r="AR302" s="68">
        <f>IF($Z$3="yes", 0.212464999999999/$X302, 0.212464999999999)</f>
        <v>0.29184752747252607</v>
      </c>
      <c r="AS302" s="68">
        <f>IF($Z$3="yes", 0.221690999999999/$X302, 0.221690999999999)</f>
        <v>0.30452060439560302</v>
      </c>
      <c r="AT302" s="68">
        <f>IF($Z$3="yes", 0.152250999999999/$X302, 0.152250999999999)</f>
        <v>0.20913598901098765</v>
      </c>
      <c r="AU302" s="88">
        <f>IF($Z$3="yes", 0.310372999999999/$X302, 0.310372999999999)</f>
        <v>0.42633653846153713</v>
      </c>
      <c r="AV302" s="88">
        <f>IF($Z$3="yes", 0.303250142857141/$X302, 0.303250142857141)</f>
        <v>0.41655239403453437</v>
      </c>
      <c r="AW302" s="88">
        <f>IF($Z$3="yes", 0.269180499999999/$X302, 0.269180499999999)</f>
        <v>0.3697534340659327</v>
      </c>
      <c r="AX302" s="88">
        <f>IF($Z$3="yes", 0.0694400000000001/$X302, 0.0694400000000001)</f>
        <v>9.5384615384615526E-2</v>
      </c>
      <c r="AY302" s="88">
        <f>IF($Z$3="yes", 0.158122/$X302, 0.158122)</f>
        <v>0.21720054945054948</v>
      </c>
      <c r="AZ302" s="88">
        <f>IF($Z$3="yes", 0.150999142857142/$X302, 0.150999142857142)</f>
        <v>0.20741640502354672</v>
      </c>
      <c r="BA302" s="88">
        <f>IF($Z$3="yes", 0.116929499999999/$X302, 0.116929499999999)</f>
        <v>0.16061744505494369</v>
      </c>
      <c r="BB302" s="88">
        <f>IF($Z$3="yes", 0.0886820000000006/$X302, 0.0886820000000006)</f>
        <v>0.12181593406593488</v>
      </c>
      <c r="BC302" s="88">
        <f>IF($Z$3="yes", 0.0815591428571423/$X302, 0.0815591428571423)</f>
        <v>0.11203178963893173</v>
      </c>
      <c r="BD302" s="88">
        <f>IF($Z$3="yes", 0.0474894999999997/$X302, 0.0474894999999997)</f>
        <v>6.5232829670329256E-2</v>
      </c>
      <c r="BE302" s="88">
        <f>IF($Z$3="yes", 0.0071228571428582/$X302, 0.0071228571428582)</f>
        <v>9.7841444270030213E-3</v>
      </c>
      <c r="BF302" s="88">
        <f>IF($Z$3="yes", 0.0411925000000008/$X302, 0.0411925000000008)</f>
        <v>5.6583104395605495E-2</v>
      </c>
      <c r="BG302" s="88">
        <f>IF($Z$3="yes", 0.0340696428571426/$X302, 0.0340696428571426)</f>
        <v>4.679895996860247E-2</v>
      </c>
      <c r="BH302" s="88">
        <f>IF($Z$3="yes", 0.130521632653061/$X302, 0.130521632653061)</f>
        <v>0.17928795694101785</v>
      </c>
      <c r="BI302" s="68"/>
      <c r="BJ302" s="68"/>
      <c r="BK302" s="68">
        <f>IF($BL$3="yes", MAX(0, (1545382 - 2595349) / 2702662.37457777), 2595349)</f>
        <v>2595349</v>
      </c>
      <c r="BL302" s="68">
        <f>IF($BL$3="yes", MAX(0, (1545382 - 1415857.9) / 2247456.31112204), 1415857.9)</f>
        <v>1415857.9</v>
      </c>
      <c r="BM302" s="68">
        <f>IF($BL$3="yes", MAX(0, (1545382 - 881944.3) / 1683009.66860434), 881944.3)</f>
        <v>881944.3</v>
      </c>
      <c r="BN302" s="68">
        <f>IF($BL$3="yes", MAX(0, (1545382 - 1399943.8) / 4695138.82546908), 1399943.8)</f>
        <v>1399943.8</v>
      </c>
      <c r="BO302" s="68">
        <f>IF($BL$3="yes", MAX(0, (1545382 - 968986.77) / 3747478.28236522), 968986.77)</f>
        <v>968986.77</v>
      </c>
      <c r="BP302" s="68">
        <f>IF($BL$3="yes", MAX(0, (1545382 - 505603.515) / 2691350.607768), 505603.515)</f>
        <v>505603.51500000001</v>
      </c>
      <c r="BQ302" s="68">
        <v>66.811623184347837</v>
      </c>
      <c r="BR302" s="68"/>
      <c r="BS302" s="68"/>
      <c r="BT302" s="68">
        <v>-31161712.731094301</v>
      </c>
      <c r="BU302" s="68">
        <v>-408015.64115564153</v>
      </c>
      <c r="BV302" s="68">
        <f>IF($Z$3="yes", 0.0964958720513074/$X302, 0.0964958720513074)</f>
        <v>0.13254927479575193</v>
      </c>
      <c r="BW302" s="68">
        <f>IF($Z$3="yes", 0.102661079475301/$X302, 0.102661079475301)</f>
        <v>0.14101796631222666</v>
      </c>
      <c r="BX302" s="68">
        <f>$BW$60 - $BV$60</f>
        <v>2.6667856844683063E-2</v>
      </c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  <c r="CQ302" s="81"/>
      <c r="CR302" s="81"/>
      <c r="CS302" s="68"/>
      <c r="CT302" s="68"/>
      <c r="CU302" s="68"/>
    </row>
    <row r="303" spans="1:99" ht="15.75" customHeight="1" thickBot="1" x14ac:dyDescent="0.3">
      <c r="A303" s="84" t="s">
        <v>194</v>
      </c>
      <c r="B303" s="67" t="s">
        <v>128</v>
      </c>
      <c r="C303" s="68" t="s">
        <v>525</v>
      </c>
      <c r="D303" s="67" t="s">
        <v>248</v>
      </c>
      <c r="E303" s="67">
        <v>1</v>
      </c>
      <c r="F303" s="85">
        <v>0.55000000000000004</v>
      </c>
      <c r="G303" s="313">
        <v>44118</v>
      </c>
      <c r="H303" s="317">
        <v>1.9</v>
      </c>
      <c r="I303" s="85">
        <v>13.4</v>
      </c>
      <c r="J303" s="313">
        <v>44123</v>
      </c>
      <c r="K303" s="149">
        <f t="shared" si="10"/>
        <v>2.4545454545454541</v>
      </c>
      <c r="L303" s="149">
        <f t="shared" si="11"/>
        <v>23.363636363636363</v>
      </c>
      <c r="M303" s="312">
        <v>44407</v>
      </c>
      <c r="N303" s="68"/>
      <c r="O303" s="291">
        <v>67424993</v>
      </c>
      <c r="P303" s="291">
        <v>18800000</v>
      </c>
      <c r="Q303" s="291">
        <v>5</v>
      </c>
      <c r="R303" s="68" t="s">
        <v>152</v>
      </c>
      <c r="S303" s="68" t="s">
        <v>192</v>
      </c>
      <c r="T303" s="68" t="s">
        <v>249</v>
      </c>
      <c r="U303" s="68">
        <v>20</v>
      </c>
      <c r="V303" s="68">
        <v>60607065</v>
      </c>
      <c r="W303" s="68"/>
      <c r="X303" s="68">
        <v>1.98</v>
      </c>
      <c r="Y303" s="68">
        <v>0.90643250000000186</v>
      </c>
      <c r="Z303" s="68">
        <v>0.79161300000000112</v>
      </c>
      <c r="AA303" s="68">
        <v>0.69307399999999963</v>
      </c>
      <c r="AB303" s="68">
        <v>0.75542799999999977</v>
      </c>
      <c r="AC303" s="68">
        <v>0.59406499999999984</v>
      </c>
      <c r="AD303" s="68">
        <v>0.64373571428571452</v>
      </c>
      <c r="AE303" s="68">
        <v>0.70568750000000047</v>
      </c>
      <c r="AF303" s="68">
        <f>IF($Z$3="yes", -0.00276804912622831/$X303, -0.00276804912622831)</f>
        <v>-1.3980046092062174E-3</v>
      </c>
      <c r="AG303" s="68">
        <f>IF($Z$3="yes", -0.00374913831383162/$X303, -0.00374913831383162)</f>
        <v>-1.8935041989048586E-3</v>
      </c>
      <c r="AH303" s="68">
        <f>IF($Z$3="yes", -0.00863383913565422/$X303, -0.00863383913565422)</f>
        <v>-4.3605248159869795E-3</v>
      </c>
      <c r="AI303" s="68">
        <f>IF($Z$3="yes", -0.0142343433373349/$X303, -0.0142343433373349)</f>
        <v>-7.1890622915832831E-3</v>
      </c>
      <c r="AJ303" s="68">
        <f>IF($Z$3="yes", 0.0238964661654131/$X303, 0.0238964661654131)</f>
        <v>1.2068922305764193E-2</v>
      </c>
      <c r="AK303" s="68">
        <f>IF($Z$3="yes", 0.0382556043956038/$X303, 0.0382556043956038)</f>
        <v>1.9321012321012021E-2</v>
      </c>
      <c r="AL303" s="68">
        <f>IF($Z$3="yes", 0.125620238095232/$X303, 0.125620238095232)</f>
        <v>6.3444564694561625E-2</v>
      </c>
      <c r="AM303" s="68">
        <f>IF($Z$3="yes", 0.1148195/$X303, 0.1148195)</f>
        <v>5.7989646464646466E-2</v>
      </c>
      <c r="AN303" s="68">
        <f>IF($Z$3="yes", 0.213358500000002/$X303, 0.213358500000002)</f>
        <v>0.10775681818181919</v>
      </c>
      <c r="AO303" s="68">
        <f>IF($Z$3="yes", 0.151004500000002/$X303, 0.151004500000002)</f>
        <v>7.6264898989900007E-2</v>
      </c>
      <c r="AP303" s="68">
        <f>IF($Z$3="yes", 0.312367500000002/$X303, 0.312367500000002)</f>
        <v>0.15776136363636467</v>
      </c>
      <c r="AQ303" s="68">
        <f>IF($Z$3="yes", 0.262696785714287/$X303, 0.262696785714287)</f>
        <v>0.13267514430014496</v>
      </c>
      <c r="AR303" s="68">
        <f>IF($Z$3="yes", 0.200745000000001/$X303, 0.200745000000001)</f>
        <v>0.10138636363636415</v>
      </c>
      <c r="AS303" s="68">
        <f>IF($Z$3="yes", 0.0985390000000014/$X303, 0.0985390000000014)</f>
        <v>4.9767171717172425E-2</v>
      </c>
      <c r="AT303" s="68">
        <f>IF($Z$3="yes", 0.0361850000000013/$X303, 0.0361850000000013)</f>
        <v>1.827525252525318E-2</v>
      </c>
      <c r="AU303" s="88">
        <f>IF($Z$3="yes", 0.197548000000001/$X303, 0.197548000000001)</f>
        <v>9.9771717171717678E-2</v>
      </c>
      <c r="AV303" s="88">
        <f>IF($Z$3="yes", 0.147877285714286/$X303, 0.147877285714286)</f>
        <v>7.468549783549798E-2</v>
      </c>
      <c r="AW303" s="88">
        <f>IF($Z$3="yes", 0.0859255000000006/$X303, 0.0859255000000006)</f>
        <v>4.3396717171717475E-2</v>
      </c>
      <c r="AX303" s="88">
        <f>IF($Z$3="yes", 0.0623540000000001/$X303, 0.0623540000000001)</f>
        <v>3.1491919191919245E-2</v>
      </c>
      <c r="AY303" s="88">
        <f>IF($Z$3="yes", 0.161362999999999/$X303, 0.161362999999999)</f>
        <v>8.1496464646464151E-2</v>
      </c>
      <c r="AZ303" s="88">
        <f>IF($Z$3="yes", 0.111692285714285/$X303, 0.111692285714285)</f>
        <v>5.6410245310244946E-2</v>
      </c>
      <c r="BA303" s="88">
        <f>IF($Z$3="yes", 0.0497404999999993/$X303, 0.0497404999999993)</f>
        <v>2.5121464646464291E-2</v>
      </c>
      <c r="BB303" s="88">
        <f>IF($Z$3="yes", 0.0990089999999997/$X303, 0.0990089999999997)</f>
        <v>5.0004545454545302E-2</v>
      </c>
      <c r="BC303" s="88">
        <f>IF($Z$3="yes", 0.0493382857142851/$X303, 0.0493382857142851)</f>
        <v>2.4918326118325809E-2</v>
      </c>
      <c r="BD303" s="88">
        <f>IF($Z$3="yes", 0.0126135000000008/$X303, 0.0126135000000008)</f>
        <v>6.3704545454549497E-3</v>
      </c>
      <c r="BE303" s="88">
        <f>IF($Z$3="yes", 0.0496707142857146/$X303, 0.0496707142857146)</f>
        <v>2.5086219336219497E-2</v>
      </c>
      <c r="BF303" s="88">
        <f>IF($Z$3="yes", 0.1116225/$X303, 0.1116225)</f>
        <v>5.6375000000000001E-2</v>
      </c>
      <c r="BG303" s="88">
        <f>IF($Z$3="yes", 0.0619517857142859/$X303, 0.0619517857142859)</f>
        <v>3.1288780663780755E-2</v>
      </c>
      <c r="BH303" s="88">
        <f>IF($Z$3="yes", 0.145028217687075/$X303, 0.145028217687075)</f>
        <v>7.3246574589431818E-2</v>
      </c>
      <c r="BI303" s="68"/>
      <c r="BJ303" s="68"/>
      <c r="BK303" s="68">
        <f>IF($BL$3="yes", MAX(0, (60607065 - 12140883.4) / 24233091.7322254), 12140883.4)</f>
        <v>12140883.4</v>
      </c>
      <c r="BL303" s="68">
        <f>IF($BL$3="yes", MAX(0, (60607065 - 6083326.4) / 18174581.2425669), 6083326.4)</f>
        <v>6083326.4000000004</v>
      </c>
      <c r="BM303" s="68">
        <f>IF($BL$3="yes", MAX(0, (60607065 - 3093510.9) / 13194692.2007893), 3093510.9)</f>
        <v>3093510.9</v>
      </c>
      <c r="BN303" s="68">
        <f>IF($BL$3="yes", MAX(0, (60607065 - 1361285.74) / 8473602.02154768), 1361285.74)</f>
        <v>1361285.74</v>
      </c>
      <c r="BO303" s="68">
        <f>IF($BL$3="yes", MAX(0, (60607065 - 774015.4) / 6028355.37009045), 774015.4)</f>
        <v>774015.4</v>
      </c>
      <c r="BP303" s="68">
        <f>IF($BL$3="yes", MAX(0, (60607065 - 416828.55) / 4278738.76408533), 416828.55)</f>
        <v>416828.55</v>
      </c>
      <c r="BQ303" s="68">
        <v>91.196109430666809</v>
      </c>
      <c r="BR303" s="68"/>
      <c r="BS303" s="68"/>
      <c r="BT303" s="68">
        <v>39109897.772922643</v>
      </c>
      <c r="BU303" s="68">
        <v>15070010.204461871</v>
      </c>
      <c r="BV303" s="68">
        <f>IF($Z$3="yes", 0.172224216440404/$X303, 0.172224216440404)</f>
        <v>8.6981927495153544E-2</v>
      </c>
      <c r="BW303" s="68">
        <f>IF($Z$3="yes", 0.0948975667686419/$X303, 0.0948975667686419)</f>
        <v>4.7928064024566619E-2</v>
      </c>
      <c r="BX303" s="68">
        <f>$BW$59 - $BV$59</f>
        <v>0.11945834748982899</v>
      </c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  <c r="CQ303" s="81"/>
      <c r="CR303" s="81"/>
      <c r="CS303" s="68"/>
      <c r="CT303" s="68"/>
      <c r="CU303" s="68"/>
    </row>
    <row r="304" spans="1:99" ht="15.75" customHeight="1" thickBot="1" x14ac:dyDescent="0.3">
      <c r="A304" s="84" t="s">
        <v>194</v>
      </c>
      <c r="B304" s="67" t="s">
        <v>128</v>
      </c>
      <c r="C304" s="83" t="s">
        <v>675</v>
      </c>
      <c r="D304" s="67" t="s">
        <v>676</v>
      </c>
      <c r="E304" s="67">
        <v>1</v>
      </c>
      <c r="F304" s="85">
        <v>1.1200000000000001</v>
      </c>
      <c r="G304" s="313">
        <v>44116</v>
      </c>
      <c r="H304" s="317">
        <v>2.2999999999999998</v>
      </c>
      <c r="I304" s="85">
        <v>5.35</v>
      </c>
      <c r="J304" s="313">
        <v>44244</v>
      </c>
      <c r="K304" s="264">
        <f t="shared" si="10"/>
        <v>1.0535714285714284</v>
      </c>
      <c r="L304" s="149">
        <f t="shared" si="11"/>
        <v>3.7767857142857135</v>
      </c>
      <c r="M304" s="312">
        <v>44407</v>
      </c>
      <c r="N304" s="68"/>
      <c r="O304" s="291">
        <v>45649590</v>
      </c>
      <c r="P304" s="291">
        <v>36430000</v>
      </c>
      <c r="Q304" s="291">
        <v>128</v>
      </c>
      <c r="R304" s="68" t="s">
        <v>131</v>
      </c>
      <c r="S304" s="68" t="s">
        <v>148</v>
      </c>
      <c r="T304" s="68" t="s">
        <v>163</v>
      </c>
      <c r="U304" s="68">
        <v>1652</v>
      </c>
      <c r="V304" s="68">
        <v>1172553</v>
      </c>
      <c r="W304" s="68"/>
      <c r="X304" s="68">
        <v>1.4</v>
      </c>
      <c r="Y304" s="68">
        <v>2.0699439999999978</v>
      </c>
      <c r="Z304" s="68">
        <v>2.7694560000000048</v>
      </c>
      <c r="AA304" s="68">
        <v>1.696199999999999</v>
      </c>
      <c r="AB304" s="68">
        <v>2.2128159999999988</v>
      </c>
      <c r="AC304" s="68">
        <v>1.373</v>
      </c>
      <c r="AD304" s="68">
        <v>1.365714285714287</v>
      </c>
      <c r="AE304" s="68">
        <v>1.370000000000003</v>
      </c>
      <c r="AF304" s="68">
        <f>IF($Z$3="yes", 0.00592259191479786/$X304, 0.00592259191479786)</f>
        <v>4.2304227962841863E-3</v>
      </c>
      <c r="AG304" s="68">
        <f>IF($Z$3="yes", -0.0332576609660975/$X304, -0.0332576609660975)</f>
        <v>-2.3755472118641076E-2</v>
      </c>
      <c r="AH304" s="68">
        <f>IF($Z$3="yes", -0.0261805522208881/$X304, -0.0261805522208881)</f>
        <v>-1.8700394443491499E-2</v>
      </c>
      <c r="AI304" s="68">
        <f>IF($Z$3="yes", -0.0606749963985592/$X304, -0.0606749963985592)</f>
        <v>-4.3339283141828007E-2</v>
      </c>
      <c r="AJ304" s="68">
        <f>IF($Z$3="yes", -0.000887218045113274/$X304, -0.000887218045113274)</f>
        <v>-6.3372717508091E-4</v>
      </c>
      <c r="AK304" s="68">
        <f>IF($Z$3="yes", 0.00351648351648445/$X304, 0.00351648351648445)</f>
        <v>2.511773940346036E-3</v>
      </c>
      <c r="AL304" s="68">
        <f>IF($Z$3="yes", 0.00928571428571074/$X304, 0.00928571428571074)</f>
        <v>6.6326530612219577E-3</v>
      </c>
      <c r="AM304" s="68">
        <f>IF($Z$3="yes", 0.699512000000007/$X304, 0.699512000000007)</f>
        <v>0.49965142857143363</v>
      </c>
      <c r="AN304" s="68">
        <f>IF($Z$3="yes", 0.373743999999998/$X304, 0.373743999999998)</f>
        <v>0.26695999999999859</v>
      </c>
      <c r="AO304" s="68">
        <f>IF($Z$3="yes", 0.142872000000001/$X304, 0.142872000000001)</f>
        <v>0.10205142857142929</v>
      </c>
      <c r="AP304" s="68">
        <f>IF($Z$3="yes", 0.696943999999997/$X304, 0.696943999999997)</f>
        <v>0.49781714285714074</v>
      </c>
      <c r="AQ304" s="68">
        <f>IF($Z$3="yes", 0.704229714285711/$X304, 0.704229714285711)</f>
        <v>0.50302122448979358</v>
      </c>
      <c r="AR304" s="68">
        <f>IF($Z$3="yes", 0.699943999999995/$X304, 0.699943999999995)</f>
        <v>0.49995999999999646</v>
      </c>
      <c r="AS304" s="68">
        <f>IF($Z$3="yes", 1.073256/$X304, 1.073256)</f>
        <v>0.76661142857142861</v>
      </c>
      <c r="AT304" s="68">
        <f>IF($Z$3="yes", 0.556640000000006/$X304, 0.556640000000006)</f>
        <v>0.39760000000000434</v>
      </c>
      <c r="AU304" s="88">
        <f>IF($Z$3="yes", 1.396456/$X304, 1.396456)</f>
        <v>0.99746857142857148</v>
      </c>
      <c r="AV304" s="88">
        <f>IF($Z$3="yes", 1.40374171428571/$X304, 1.40374171428571)</f>
        <v>1.0026726530612216</v>
      </c>
      <c r="AW304" s="88">
        <f>IF($Z$3="yes", 1.399456/$X304, 1.399456)</f>
        <v>0.99961142857142871</v>
      </c>
      <c r="AX304" s="88">
        <f>IF($Z$3="yes", 0.516616/$X304, 0.516616)</f>
        <v>0.36901142857142855</v>
      </c>
      <c r="AY304" s="88">
        <f>IF($Z$3="yes", 0.839815999999998/$X304, 0.839815999999998)</f>
        <v>0.59986857142857009</v>
      </c>
      <c r="AZ304" s="88">
        <f>IF($Z$3="yes", 0.847101714285712/$X304, 0.847101714285712)</f>
        <v>0.60507265306122293</v>
      </c>
      <c r="BA304" s="88">
        <f>IF($Z$3="yes", 0.842815999999996/$X304, 0.842815999999996)</f>
        <v>0.60201142857142576</v>
      </c>
      <c r="BB304" s="88">
        <f>IF($Z$3="yes", 0.323199999999998/$X304, 0.323199999999998)</f>
        <v>0.23085714285714143</v>
      </c>
      <c r="BC304" s="88">
        <f>IF($Z$3="yes", 0.330485714285712/$X304, 0.330485714285712)</f>
        <v>0.2360612244897943</v>
      </c>
      <c r="BD304" s="88">
        <f>IF($Z$3="yes", 0.326199999999996/$X304, 0.326199999999996)</f>
        <v>0.23299999999999715</v>
      </c>
      <c r="BE304" s="88">
        <f>IF($Z$3="yes", 0.00728571428571389/$X304, 0.00728571428571389)</f>
        <v>5.2040816326527784E-3</v>
      </c>
      <c r="BF304" s="88">
        <f>IF($Z$3="yes", 0.00299999999999789/$X304, 0.00299999999999789)</f>
        <v>2.1428571428556359E-3</v>
      </c>
      <c r="BG304" s="88">
        <f>IF($Z$3="yes", 0.004285714285716/$X304, 0.004285714285716)</f>
        <v>3.0612244897971429E-3</v>
      </c>
      <c r="BH304" s="88">
        <f>IF($Z$3="yes", 0.42954813605442/$X304, 0.42954813605442)</f>
        <v>0.30682009718172859</v>
      </c>
      <c r="BI304" s="68"/>
      <c r="BJ304" s="68"/>
      <c r="BK304" s="68">
        <f>IF($BL$3="yes", MAX(0, (1172553 - 3994864) / 4447850.50832187), 3994864)</f>
        <v>3994864</v>
      </c>
      <c r="BL304" s="68">
        <f>IF($BL$3="yes", MAX(0, (1172553 - 2498425.4) / 3517486.22039345), 2498425.4)</f>
        <v>2498425.4</v>
      </c>
      <c r="BM304" s="68">
        <f>IF($BL$3="yes", MAX(0, (1172553 - 1878131.3) / 2691206.10824201), 1878131.3)</f>
        <v>1878131.3</v>
      </c>
      <c r="BN304" s="68">
        <f>IF($BL$3="yes", MAX(0, (1172553 - 2116709.46) / 2603871.86682482), 2116709.46)</f>
        <v>2116709.46</v>
      </c>
      <c r="BO304" s="68">
        <f>IF($BL$3="yes", MAX(0, (1172553 - 3324643.09666666) / 6519645.81462764), 3324643.09666666)</f>
        <v>3324643.0966666602</v>
      </c>
      <c r="BP304" s="68">
        <f>IF($BL$3="yes", MAX(0, (1172553 - 3058782.4675) / 5557519.95051783), 3058782.4675)</f>
        <v>3058782.4674999998</v>
      </c>
      <c r="BQ304" s="68">
        <v>43.350569246479253</v>
      </c>
      <c r="BR304" s="68"/>
      <c r="BS304" s="68"/>
      <c r="BT304" s="68">
        <v>-91480406.940888911</v>
      </c>
      <c r="BU304" s="68">
        <v>-2104634.612787738</v>
      </c>
      <c r="BV304" s="68">
        <f>IF($Z$3="yes", 0.154805868342027/$X304, 0.154805868342027)</f>
        <v>0.11057562024430501</v>
      </c>
      <c r="BW304" s="68">
        <f>IF($Z$3="yes", 0.273622088708767/$X304, 0.273622088708767)</f>
        <v>0.1954443490776907</v>
      </c>
      <c r="BX304" s="68">
        <f>$BW$57 - $BV$57</f>
        <v>6.657661927221406E-3</v>
      </c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  <c r="CQ304" s="81"/>
      <c r="CR304" s="81"/>
      <c r="CS304" s="68"/>
      <c r="CT304" s="68"/>
      <c r="CU304" s="68"/>
    </row>
    <row r="305" spans="1:99" ht="15.75" customHeight="1" thickBot="1" x14ac:dyDescent="0.3">
      <c r="A305" s="84" t="s">
        <v>194</v>
      </c>
      <c r="B305" s="67" t="s">
        <v>128</v>
      </c>
      <c r="C305" s="83" t="s">
        <v>677</v>
      </c>
      <c r="D305" s="67" t="s">
        <v>678</v>
      </c>
      <c r="E305" s="67">
        <v>1</v>
      </c>
      <c r="F305" s="85">
        <v>0.39</v>
      </c>
      <c r="G305" s="313">
        <v>44116</v>
      </c>
      <c r="H305" s="317">
        <v>4.95</v>
      </c>
      <c r="I305" s="85">
        <v>10.88</v>
      </c>
      <c r="J305" s="313">
        <v>44368</v>
      </c>
      <c r="K305" s="149">
        <f t="shared" si="10"/>
        <v>11.692307692307692</v>
      </c>
      <c r="L305" s="149">
        <f t="shared" si="11"/>
        <v>26.897435897435898</v>
      </c>
      <c r="M305" s="312">
        <v>44407</v>
      </c>
      <c r="N305" s="68"/>
      <c r="O305" s="291">
        <v>158743061</v>
      </c>
      <c r="P305" s="291">
        <v>121430000</v>
      </c>
      <c r="Q305" s="291">
        <v>252</v>
      </c>
      <c r="R305" s="68" t="s">
        <v>131</v>
      </c>
      <c r="S305" s="68" t="s">
        <v>220</v>
      </c>
      <c r="T305" s="68" t="s">
        <v>546</v>
      </c>
      <c r="U305" s="68">
        <v>776</v>
      </c>
      <c r="V305" s="68">
        <v>8484319</v>
      </c>
      <c r="W305" s="68"/>
      <c r="X305" s="68">
        <v>0.39</v>
      </c>
      <c r="Y305" s="68">
        <v>0.43571749999999948</v>
      </c>
      <c r="Z305" s="68">
        <v>0.32764800000000099</v>
      </c>
      <c r="AA305" s="68">
        <v>0.28943999999999981</v>
      </c>
      <c r="AB305" s="68">
        <v>0.30191599999999991</v>
      </c>
      <c r="AC305" s="68">
        <v>0.27348000000000011</v>
      </c>
      <c r="AD305" s="68">
        <v>0.26858571428571443</v>
      </c>
      <c r="AE305" s="68">
        <v>0.28556250000000011</v>
      </c>
      <c r="AF305" s="68">
        <f>IF($Z$3="yes", -0.00242473344333608/$X305, -0.00242473344333608)</f>
        <v>-6.2172652393232821E-3</v>
      </c>
      <c r="AG305" s="68">
        <f>IF($Z$3="yes", -0.00141994479447968/$X305, -0.00141994479447968)</f>
        <v>-3.6408840884094356E-3</v>
      </c>
      <c r="AH305" s="68">
        <f>IF($Z$3="yes", -0.00105896758703479/$X305, -0.00105896758703479)</f>
        <v>-2.7153015052174103E-3</v>
      </c>
      <c r="AI305" s="68">
        <f>IF($Z$3="yes", -0.00195358463385352/$X305, -0.00195358463385352)</f>
        <v>-5.0091913688551796E-3</v>
      </c>
      <c r="AJ305" s="68">
        <f>IF($Z$3="yes", 0.00137954887218003/$X305, 0.00137954887218003)</f>
        <v>3.5373048004616152E-3</v>
      </c>
      <c r="AK305" s="68">
        <f>IF($Z$3="yes", 0.0073595604395601/$X305, 0.0073595604395601)</f>
        <v>1.8870667793743846E-2</v>
      </c>
      <c r="AL305" s="68">
        <f>IF($Z$3="yes", 0.0140226190476185/$X305, 0.0140226190476185)</f>
        <v>3.5955433455432048E-2</v>
      </c>
      <c r="AM305" s="68">
        <f>IF($Z$3="yes", 0.108069499999998/$X305, 0.108069499999998)</f>
        <v>0.27710128205127693</v>
      </c>
      <c r="AN305" s="68">
        <f>IF($Z$3="yes", 0.146277499999999/$X305, 0.146277499999999)</f>
        <v>0.37507051282051024</v>
      </c>
      <c r="AO305" s="68">
        <f>IF($Z$3="yes", 0.133801499999999/$X305, 0.133801499999999)</f>
        <v>0.34308076923076664</v>
      </c>
      <c r="AP305" s="68">
        <f>IF($Z$3="yes", 0.162237499999999/$X305, 0.162237499999999)</f>
        <v>0.41599358974358719</v>
      </c>
      <c r="AQ305" s="68">
        <f>IF($Z$3="yes", 0.167131785714285/$X305, 0.167131785714285)</f>
        <v>0.42854304029303841</v>
      </c>
      <c r="AR305" s="68">
        <f>IF($Z$3="yes", 0.150154999999999/$X305, 0.150154999999999)</f>
        <v>0.38501282051281799</v>
      </c>
      <c r="AS305" s="68">
        <f>IF($Z$3="yes", 0.0382080000000011/$X305, 0.0382080000000011)</f>
        <v>9.7969230769233598E-2</v>
      </c>
      <c r="AT305" s="68">
        <f>IF($Z$3="yes", 0.025732000000001/$X305, 0.025732000000001)</f>
        <v>6.5979487179489746E-2</v>
      </c>
      <c r="AU305" s="88">
        <f>IF($Z$3="yes", 0.0541680000000008/$X305, 0.0541680000000008)</f>
        <v>0.13889230769230973</v>
      </c>
      <c r="AV305" s="88">
        <f>IF($Z$3="yes", 0.0590622857142865/$X305, 0.0590622857142865)</f>
        <v>0.15144175824176023</v>
      </c>
      <c r="AW305" s="88">
        <f>IF($Z$3="yes", 0.0420855000000008/$X305, 0.0420855000000008)</f>
        <v>0.10791153846154052</v>
      </c>
      <c r="AX305" s="88">
        <f>IF($Z$3="yes", 0.012476/$X305, 0.012476)</f>
        <v>3.1989743589743588E-2</v>
      </c>
      <c r="AY305" s="88">
        <f>IF($Z$3="yes", 0.0284359999999997/$X305, 0.0284359999999997)</f>
        <v>7.2912820512819748E-2</v>
      </c>
      <c r="AZ305" s="88">
        <f>IF($Z$3="yes", 0.0333302857142854/$X305, 0.0333302857142854)</f>
        <v>8.5462271062270265E-2</v>
      </c>
      <c r="BA305" s="88">
        <f>IF($Z$3="yes", 0.0163534999999998/$X305, 0.0163534999999998)</f>
        <v>4.1932051282050763E-2</v>
      </c>
      <c r="BB305" s="88">
        <f>IF($Z$3="yes", 0.0159599999999996/$X305, 0.0159599999999996)</f>
        <v>4.0923076923075896E-2</v>
      </c>
      <c r="BC305" s="88">
        <f>IF($Z$3="yes", 0.0208542857142854/$X305, 0.0208542857142854)</f>
        <v>5.3472527472526662E-2</v>
      </c>
      <c r="BD305" s="88">
        <f>IF($Z$3="yes", 0.00387749999999975/$X305, 0.00387749999999975)</f>
        <v>9.9423076923070512E-3</v>
      </c>
      <c r="BE305" s="88">
        <f>IF($Z$3="yes", 0.00489428571428574/$X305, 0.00489428571428574)</f>
        <v>1.2549450549450615E-2</v>
      </c>
      <c r="BF305" s="88">
        <f>IF($Z$3="yes", 0.0120824999999999/$X305, 0.0120824999999999)</f>
        <v>3.0980769230768975E-2</v>
      </c>
      <c r="BG305" s="88">
        <f>IF($Z$3="yes", 0.0169767857142856/$X305, 0.0169767857142856)</f>
        <v>4.3530219780219488E-2</v>
      </c>
      <c r="BH305" s="88">
        <f>IF($Z$3="yes", 0.0634626258503399/$X305, 0.0634626258503399)</f>
        <v>0.1627246816675382</v>
      </c>
      <c r="BI305" s="68"/>
      <c r="BJ305" s="68"/>
      <c r="BK305" s="68">
        <f>IF($BL$3="yes", MAX(0, (8484319 - 3729525.8) / 4077790.9311202), 3729525.8)</f>
        <v>3729525.8</v>
      </c>
      <c r="BL305" s="68">
        <f>IF($BL$3="yes", MAX(0, (8484319 - 2245645.4) / 3259201.19234456), 2245645.4)</f>
        <v>2245645.4</v>
      </c>
      <c r="BM305" s="68">
        <f>IF($BL$3="yes", MAX(0, (8484319 - 2398825.85) / 3098010.18839845), 2398825.85)</f>
        <v>2398825.85</v>
      </c>
      <c r="BN305" s="68">
        <f>IF($BL$3="yes", MAX(0, (8484319 - 1722858.2) / 2359822.37695901), 1722858.2)</f>
        <v>1722858.2</v>
      </c>
      <c r="BO305" s="68">
        <f>IF($BL$3="yes", MAX(0, (8484319 - 1290700.89) / 1822413.99818531), 1290700.89)</f>
        <v>1290700.8899999999</v>
      </c>
      <c r="BP305" s="68">
        <f>IF($BL$3="yes", MAX(0, (8484319 - 808681.67) / 1412311.49189023), 808681.67)</f>
        <v>808681.67</v>
      </c>
      <c r="BQ305" s="68">
        <v>75.346672005055638</v>
      </c>
      <c r="BR305" s="68"/>
      <c r="BS305" s="68"/>
      <c r="BT305" s="68">
        <v>-18876049.66386281</v>
      </c>
      <c r="BU305" s="68">
        <v>4239204.5243024863</v>
      </c>
      <c r="BV305" s="68">
        <f>IF($Z$3="yes", 0.0332449457715603/$X305, 0.0332449457715603)</f>
        <v>8.5243450696308454E-2</v>
      </c>
      <c r="BW305" s="68">
        <f>IF($Z$3="yes", 0.0286527222103989/$X305, 0.0286527222103989)</f>
        <v>7.3468518488202308E-2</v>
      </c>
      <c r="BX305" s="68">
        <f>$BW$58 - $BV$58</f>
        <v>-5.551112938361237E-2</v>
      </c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  <c r="CQ305" s="81"/>
      <c r="CR305" s="81"/>
      <c r="CS305" s="68"/>
      <c r="CT305" s="68"/>
      <c r="CU305" s="68"/>
    </row>
    <row r="306" spans="1:99" ht="15.75" customHeight="1" thickBot="1" x14ac:dyDescent="0.3">
      <c r="A306" s="84" t="s">
        <v>194</v>
      </c>
      <c r="B306" s="67" t="s">
        <v>128</v>
      </c>
      <c r="C306" s="83" t="s">
        <v>679</v>
      </c>
      <c r="D306" s="67" t="s">
        <v>680</v>
      </c>
      <c r="E306" s="67">
        <v>1</v>
      </c>
      <c r="F306" s="85">
        <v>2.85</v>
      </c>
      <c r="G306" s="313">
        <v>44113</v>
      </c>
      <c r="H306" s="317">
        <v>9</v>
      </c>
      <c r="I306" s="317">
        <v>14.87</v>
      </c>
      <c r="J306" s="313">
        <v>44383</v>
      </c>
      <c r="K306" s="149">
        <f t="shared" si="10"/>
        <v>2.1578947368421053</v>
      </c>
      <c r="L306" s="149">
        <f t="shared" si="11"/>
        <v>4.2175438596491226</v>
      </c>
      <c r="M306" s="312">
        <v>44407</v>
      </c>
      <c r="N306" s="68"/>
      <c r="O306" s="291">
        <v>5061177</v>
      </c>
      <c r="P306" s="291">
        <v>1890000</v>
      </c>
      <c r="Q306" s="291">
        <v>270</v>
      </c>
      <c r="R306" s="68" t="s">
        <v>131</v>
      </c>
      <c r="S306" s="68" t="s">
        <v>135</v>
      </c>
      <c r="T306" s="68" t="s">
        <v>133</v>
      </c>
      <c r="U306" s="68">
        <v>236</v>
      </c>
      <c r="V306" s="68">
        <v>321301</v>
      </c>
      <c r="W306" s="68"/>
      <c r="X306" s="68">
        <v>2.5617999999999999</v>
      </c>
      <c r="Y306" s="68">
        <v>2.6666335000000001</v>
      </c>
      <c r="Z306" s="68">
        <v>2.6182159999999972</v>
      </c>
      <c r="AA306" s="68">
        <v>3.0306139999999999</v>
      </c>
      <c r="AB306" s="68">
        <v>3.027788000000001</v>
      </c>
      <c r="AC306" s="68">
        <v>2.5100000000000029</v>
      </c>
      <c r="AD306" s="68">
        <v>2.545714285714284</v>
      </c>
      <c r="AE306" s="68">
        <v>2.598749999999999</v>
      </c>
      <c r="AF306" s="68">
        <f>IF($Z$3="yes", -0.00233181677041921/$X306, -0.00233181677041921)</f>
        <v>-9.1022592334265371E-4</v>
      </c>
      <c r="AG306" s="68">
        <f>IF($Z$3="yes", 0.00952027242724291/$X306, 0.00952027242724291)</f>
        <v>3.7162434332277733E-3</v>
      </c>
      <c r="AH306" s="68">
        <f>IF($Z$3="yes", -0.0381943193277311/$X306, -0.0381943193277311)</f>
        <v>-1.4909172975146811E-2</v>
      </c>
      <c r="AI306" s="68">
        <f>IF($Z$3="yes", -0.0168017094837935/$X306, -0.0168017094837935)</f>
        <v>-6.5585562822208995E-3</v>
      </c>
      <c r="AJ306" s="68">
        <f>IF($Z$3="yes", 0.0133082706766883/$X306, 0.0133082706766883)</f>
        <v>5.1948905756453671E-3</v>
      </c>
      <c r="AK306" s="68">
        <f>IF($Z$3="yes", 0.0210549450549486/$X306, 0.0210549450549486)</f>
        <v>8.2188090619676017E-3</v>
      </c>
      <c r="AL306" s="68">
        <f>IF($Z$3="yes", 0.0196428571428575/$X306, 0.0196428571428575)</f>
        <v>7.6675997903261385E-3</v>
      </c>
      <c r="AM306" s="68">
        <f>IF($Z$3="yes", 0.0484175000000028/$X306, 0.0484175000000028)</f>
        <v>1.8899797017723007E-2</v>
      </c>
      <c r="AN306" s="68">
        <f>IF($Z$3="yes", 0.3639805/$X306, 0.3639805)</f>
        <v>0.14207998282457648</v>
      </c>
      <c r="AO306" s="68">
        <f>IF($Z$3="yes", 0.3611545/$X306, 0.3611545)</f>
        <v>0.14097685221328754</v>
      </c>
      <c r="AP306" s="68">
        <f>IF($Z$3="yes", 0.156633499999996/$X306, 0.156633499999996)</f>
        <v>6.1141970489498015E-2</v>
      </c>
      <c r="AQ306" s="68">
        <f>IF($Z$3="yes", 0.120919214285715/$X306, 0.120919214285715)</f>
        <v>4.7200879961634405E-2</v>
      </c>
      <c r="AR306" s="68">
        <f>IF($Z$3="yes", 0.0678835000000006/$X306, 0.0678835000000006)</f>
        <v>2.6498360527754158E-2</v>
      </c>
      <c r="AS306" s="68">
        <f>IF($Z$3="yes", 0.412398000000002/$X306, 0.412398000000002)</f>
        <v>0.16097977984229916</v>
      </c>
      <c r="AT306" s="68">
        <f>IF($Z$3="yes", 0.409572000000003/$X306, 0.409572000000003)</f>
        <v>0.15987664923101061</v>
      </c>
      <c r="AU306" s="88">
        <f>IF($Z$3="yes", 0.108215999999994/$X306, 0.108215999999994)</f>
        <v>4.2242173471775314E-2</v>
      </c>
      <c r="AV306" s="88">
        <f>IF($Z$3="yes", 0.0725017142857131/$X306, 0.0725017142857131)</f>
        <v>2.8301082943911742E-2</v>
      </c>
      <c r="AW306" s="88">
        <f>IF($Z$3="yes", 0.0194659999999982/$X306, 0.0194659999999982)</f>
        <v>7.5985635100313063E-3</v>
      </c>
      <c r="AX306" s="88">
        <f>IF($Z$3="yes", 0.00282599999999977/$X306, 0.00282599999999977)</f>
        <v>1.1031306112888478E-3</v>
      </c>
      <c r="AY306" s="88">
        <f>IF($Z$3="yes", 0.517787999999997/$X306, 0.517787999999997)</f>
        <v>0.20211882270278594</v>
      </c>
      <c r="AZ306" s="88">
        <f>IF($Z$3="yes", 0.482073714285716/$X306, 0.482073714285716)</f>
        <v>0.18817773217492234</v>
      </c>
      <c r="BA306" s="88">
        <f>IF($Z$3="yes", 0.429038000000001/$X306, 0.429038000000001)</f>
        <v>0.16747521274104185</v>
      </c>
      <c r="BB306" s="88">
        <f>IF($Z$3="yes", 0.520613999999997/$X306, 0.520613999999997)</f>
        <v>0.20322195331407489</v>
      </c>
      <c r="BC306" s="88">
        <f>IF($Z$3="yes", 0.484899714285715/$X306, 0.484899714285715)</f>
        <v>0.18928086278621087</v>
      </c>
      <c r="BD306" s="88">
        <f>IF($Z$3="yes", 0.431864000000001/$X306, 0.431864000000001)</f>
        <v>0.1685783433523308</v>
      </c>
      <c r="BE306" s="88">
        <f>IF($Z$3="yes", 0.0357142857142811/$X306, 0.0357142857142811)</f>
        <v>1.394109052786365E-2</v>
      </c>
      <c r="BF306" s="88">
        <f>IF($Z$3="yes", 0.0887499999999956/$X306, 0.0887499999999956)</f>
        <v>3.4643609961743933E-2</v>
      </c>
      <c r="BG306" s="88">
        <f>IF($Z$3="yes", 0.0530357142857145/$X306, 0.0530357142857145)</f>
        <v>2.0702519433880281E-2</v>
      </c>
      <c r="BH306" s="88">
        <f>IF($Z$3="yes", 0.423698020408162/$X306, 0.423698020408162)</f>
        <v>0.16539074885165198</v>
      </c>
      <c r="BI306" s="68"/>
      <c r="BJ306" s="68"/>
      <c r="BK306" s="68">
        <f>IF($BL$3="yes", MAX(0, (321301 - 105206.4) / 109648.568852675), 105206.4)</f>
        <v>105206.39999999999</v>
      </c>
      <c r="BL306" s="68">
        <f>IF($BL$3="yes", MAX(0, (321301 - 115728.6) / 83925.5568551082), 115728.6)</f>
        <v>115728.6</v>
      </c>
      <c r="BM306" s="68">
        <f>IF($BL$3="yes", MAX(0, (321301 - 126446.9) / 164881.284967063), 126446.9)</f>
        <v>126446.9</v>
      </c>
      <c r="BN306" s="68">
        <f>IF($BL$3="yes", MAX(0, (321301 - 930231.2) / 5110021.64643781), 930231.2)</f>
        <v>930231.2</v>
      </c>
      <c r="BO306" s="68">
        <f>IF($BL$3="yes", MAX(0, (321301 - 485511.2) / 3641019.41143432), 485511.2)</f>
        <v>485511.2</v>
      </c>
      <c r="BP306" s="68">
        <f>IF($BL$3="yes", MAX(0, (321301 - 253670.185) / 2585224.92369837), 253670.185)</f>
        <v>253670.185</v>
      </c>
      <c r="BQ306" s="68">
        <v>58.528338823208273</v>
      </c>
      <c r="BR306" s="68"/>
      <c r="BS306" s="68"/>
      <c r="BT306" s="68">
        <v>-44896248.348514207</v>
      </c>
      <c r="BU306" s="68">
        <v>-1494.2692243456841</v>
      </c>
      <c r="BV306" s="68">
        <f>IF($Z$3="yes", 0.297902057199092/$X306, 0.297902057199092)</f>
        <v>0.11628622733979703</v>
      </c>
      <c r="BW306" s="68">
        <f>IF($Z$3="yes", 0.56967525129274/$X306, 0.56967525129274)</f>
        <v>0.2223730389931845</v>
      </c>
      <c r="BX306" s="68">
        <f>$BW$56 - $BV$56</f>
        <v>4.3465237202506724E-2</v>
      </c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81"/>
      <c r="CR306" s="81"/>
      <c r="CS306" s="68"/>
      <c r="CT306" s="68"/>
      <c r="CU306" s="68"/>
    </row>
    <row r="307" spans="1:99" ht="15.75" customHeight="1" thickBot="1" x14ac:dyDescent="0.3">
      <c r="A307" s="84"/>
      <c r="B307" s="67" t="s">
        <v>128</v>
      </c>
      <c r="C307" s="83" t="s">
        <v>681</v>
      </c>
      <c r="D307" s="67" t="s">
        <v>682</v>
      </c>
      <c r="E307" s="67">
        <v>1</v>
      </c>
      <c r="F307" s="85">
        <v>2.77</v>
      </c>
      <c r="G307" s="313">
        <v>44111</v>
      </c>
      <c r="H307" s="317">
        <v>4.4000000000000004</v>
      </c>
      <c r="I307" s="85">
        <v>11.5</v>
      </c>
      <c r="J307" s="313">
        <v>44237</v>
      </c>
      <c r="K307" s="265">
        <f t="shared" si="10"/>
        <v>0.58844765342960303</v>
      </c>
      <c r="L307" s="149">
        <f t="shared" si="11"/>
        <v>3.1516245487364625</v>
      </c>
      <c r="M307" s="312">
        <v>44407</v>
      </c>
      <c r="N307" s="68"/>
      <c r="O307" s="291">
        <v>35228048</v>
      </c>
      <c r="P307" s="291">
        <v>28900000</v>
      </c>
      <c r="Q307" s="291">
        <v>126</v>
      </c>
      <c r="R307" s="68" t="s">
        <v>131</v>
      </c>
      <c r="S307" s="68" t="s">
        <v>135</v>
      </c>
      <c r="T307" s="68" t="s">
        <v>683</v>
      </c>
      <c r="U307" s="68">
        <v>2004</v>
      </c>
      <c r="V307" s="68">
        <v>1246640</v>
      </c>
      <c r="W307" s="68"/>
      <c r="X307" s="68">
        <v>2.77</v>
      </c>
      <c r="Y307" s="68">
        <v>1.9879474999999991</v>
      </c>
      <c r="Z307" s="68">
        <v>3.2861800000000021</v>
      </c>
      <c r="AA307" s="68">
        <v>3.3208000000000002</v>
      </c>
      <c r="AB307" s="68">
        <v>3.6751999999999989</v>
      </c>
      <c r="AC307" s="68">
        <v>2.8245</v>
      </c>
      <c r="AD307" s="68">
        <v>2.8357142857142899</v>
      </c>
      <c r="AE307" s="68">
        <v>2.8637499999999991</v>
      </c>
      <c r="AF307" s="68">
        <f>IF($Z$3="yes", 0.0197363285832146/$X307, 0.0197363285832146)</f>
        <v>7.1250283693915523E-3</v>
      </c>
      <c r="AG307" s="68">
        <f>IF($Z$3="yes", 0.00677305730573054/$X307, 0.00677305730573054)</f>
        <v>2.4451470417799783E-3</v>
      </c>
      <c r="AH307" s="68">
        <f>IF($Z$3="yes", -0.0368672268907561/$X307, -0.0368672268907561)</f>
        <v>-1.3309468191608699E-2</v>
      </c>
      <c r="AI307" s="68">
        <f>IF($Z$3="yes", -0.04894693877551/$X307, -0.04894693877551)</f>
        <v>-1.7670375009209385E-2</v>
      </c>
      <c r="AJ307" s="68">
        <f>IF($Z$3="yes", 0.00360150375939751/$X307, 0.00360150375939751)</f>
        <v>1.3001818625983791E-3</v>
      </c>
      <c r="AK307" s="68">
        <f>IF($Z$3="yes", -0.000439560439567749/$X307, -0.000439560439567749)</f>
        <v>-1.5868607926633536E-4</v>
      </c>
      <c r="AL307" s="68">
        <f>IF($Z$3="yes", -0.0434523809523813/$X307, -0.0434523809523813)</f>
        <v>-1.5686780127213466E-2</v>
      </c>
      <c r="AM307" s="68">
        <f>IF($Z$3="yes", 1.2982325/$X307, 1.2982325)</f>
        <v>0.46867599277978333</v>
      </c>
      <c r="AN307" s="68">
        <f>IF($Z$3="yes", 1.3328525/$X307, 1.3328525)</f>
        <v>0.48117418772563175</v>
      </c>
      <c r="AO307" s="68">
        <f>IF($Z$3="yes", 1.6872525/$X307, 1.6872525)</f>
        <v>0.60911642599277982</v>
      </c>
      <c r="AP307" s="68">
        <f>IF($Z$3="yes", 0.8365525/$X307, 0.8365525)</f>
        <v>0.30200451263537909</v>
      </c>
      <c r="AQ307" s="68">
        <f>IF($Z$3="yes", 0.847766785714291/$X307, 0.847766785714291)</f>
        <v>0.30605299123259599</v>
      </c>
      <c r="AR307" s="68">
        <f>IF($Z$3="yes", 0.875802499999999/$X307, 0.875802499999999)</f>
        <v>0.31617418772563144</v>
      </c>
      <c r="AS307" s="68">
        <f>IF($Z$3="yes", 0.0346199999999985/$X307, 0.0346199999999985)</f>
        <v>1.2498194945847833E-2</v>
      </c>
      <c r="AT307" s="68">
        <f>IF($Z$3="yes", 0.389019999999997/$X307, 0.389019999999997)</f>
        <v>0.14044043321299529</v>
      </c>
      <c r="AU307" s="88">
        <f>IF($Z$3="yes", 0.461680000000001/$X307, 0.461680000000001)</f>
        <v>0.16667148014440469</v>
      </c>
      <c r="AV307" s="88">
        <f>IF($Z$3="yes", 0.450465714285711/$X307, 0.450465714285711)</f>
        <v>0.16262300154718809</v>
      </c>
      <c r="AW307" s="88">
        <f>IF($Z$3="yes", 0.422430000000002/$X307, 0.422430000000002)</f>
        <v>0.15250180505415237</v>
      </c>
      <c r="AX307" s="88">
        <f>IF($Z$3="yes", 0.354399999999999/$X307, 0.354399999999999)</f>
        <v>0.12794223826714765</v>
      </c>
      <c r="AY307" s="88">
        <f>IF($Z$3="yes", 0.850699999999999/$X307, 0.850699999999999)</f>
        <v>0.30711191335740035</v>
      </c>
      <c r="AZ307" s="88">
        <f>IF($Z$3="yes", 0.839485714285709/$X307, 0.839485714285709)</f>
        <v>0.30306343476018371</v>
      </c>
      <c r="BA307" s="88">
        <f>IF($Z$3="yes", 0.81145/$X307, 0.81145)</f>
        <v>0.29294223826714799</v>
      </c>
      <c r="BB307" s="88">
        <f>IF($Z$3="yes", 0.496299999999999/$X307, 0.496299999999999)</f>
        <v>0.17916967509025236</v>
      </c>
      <c r="BC307" s="88">
        <f>IF($Z$3="yes", 0.485085714285709/$X307, 0.485085714285709)</f>
        <v>0.17512119649303573</v>
      </c>
      <c r="BD307" s="88">
        <f>IF($Z$3="yes", 0.45705/$X307, 0.45705)</f>
        <v>0.16500000000000001</v>
      </c>
      <c r="BE307" s="88">
        <f>IF($Z$3="yes", 0.0112142857142902/$X307, 0.0112142857142902)</f>
        <v>4.0484785972166792E-3</v>
      </c>
      <c r="BF307" s="88">
        <f>IF($Z$3="yes", 0.0392499999999991/$X307, 0.0392499999999991)</f>
        <v>1.4169675090252382E-2</v>
      </c>
      <c r="BG307" s="88">
        <f>IF($Z$3="yes", 0.0280357142857088/$X307, 0.0280357142857088)</f>
        <v>1.0121196493035669E-2</v>
      </c>
      <c r="BH307" s="88">
        <f>IF($Z$3="yes", 0.681895714285714/$X307, 0.681895714285714)</f>
        <v>0.24617173800928305</v>
      </c>
      <c r="BI307" s="68"/>
      <c r="BJ307" s="68"/>
      <c r="BK307" s="68">
        <f>IF($BL$3="yes", MAX(0, (1246640 - 904018.2) / 238468.172144124), 904018.2)</f>
        <v>904018.2</v>
      </c>
      <c r="BL307" s="68">
        <f>IF($BL$3="yes", MAX(0, (1246640 - 2088239.8) / 1969235.05955931), 2088239.8)</f>
        <v>2088239.8</v>
      </c>
      <c r="BM307" s="68">
        <f>IF($BL$3="yes", MAX(0, (1246640 - 1476086.3) / 1559750.340517), 1476086.3)</f>
        <v>1476086.3</v>
      </c>
      <c r="BN307" s="68">
        <f>IF($BL$3="yes", MAX(0, (1246640 - 1508847.72) / 1127442.26955636), 1508847.72)</f>
        <v>1508847.72</v>
      </c>
      <c r="BO307" s="68">
        <f>IF($BL$3="yes", MAX(0, (1246640 - 5677892.22) / 23070936.4600925), 5677892.22)</f>
        <v>5677892.2199999997</v>
      </c>
      <c r="BP307" s="68">
        <f>IF($BL$3="yes", MAX(0, (1246640 - 3193248.35) / 16589706.2383145), 3193248.35)</f>
        <v>3193248.35</v>
      </c>
      <c r="BQ307" s="68">
        <v>43.65509660347653</v>
      </c>
      <c r="BR307" s="68"/>
      <c r="BS307" s="68"/>
      <c r="BT307" s="68">
        <v>-202098678.94943711</v>
      </c>
      <c r="BU307" s="68">
        <v>-442206.27243092662</v>
      </c>
      <c r="BV307" s="68">
        <f>IF($Z$3="yes", 0.279126126598357/$X307, 0.279126126598357)</f>
        <v>0.10076755472864873</v>
      </c>
      <c r="BW307" s="68">
        <f>IF($Z$3="yes", 0.411866640872541/$X307, 0.411866640872541)</f>
        <v>0.14868831800452742</v>
      </c>
      <c r="BX307" s="68">
        <f>$BW$55 - $BV$55</f>
        <v>1.7605806466378104E-2</v>
      </c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  <c r="CO307" s="68"/>
      <c r="CP307" s="68"/>
      <c r="CQ307" s="81"/>
      <c r="CR307" s="81"/>
      <c r="CS307" s="68"/>
      <c r="CT307" s="68"/>
      <c r="CU307" s="68"/>
    </row>
    <row r="308" spans="1:99" ht="15.75" customHeight="1" thickBot="1" x14ac:dyDescent="0.3">
      <c r="A308" s="84" t="s">
        <v>194</v>
      </c>
      <c r="B308" s="67" t="s">
        <v>128</v>
      </c>
      <c r="C308" s="83" t="s">
        <v>684</v>
      </c>
      <c r="D308" s="67" t="s">
        <v>515</v>
      </c>
      <c r="E308" s="67">
        <v>1</v>
      </c>
      <c r="F308" s="85">
        <v>1.24</v>
      </c>
      <c r="G308" s="313">
        <v>44109</v>
      </c>
      <c r="H308" s="317">
        <v>1.42</v>
      </c>
      <c r="I308" s="85">
        <v>3.65</v>
      </c>
      <c r="J308" s="313">
        <v>44244</v>
      </c>
      <c r="K308" s="219">
        <f t="shared" si="10"/>
        <v>0.14516129032258052</v>
      </c>
      <c r="L308" s="149">
        <f t="shared" si="11"/>
        <v>1.943548387096774</v>
      </c>
      <c r="M308" s="312">
        <v>44407</v>
      </c>
      <c r="N308" s="68"/>
      <c r="O308" s="291">
        <v>37948082</v>
      </c>
      <c r="P308" s="291">
        <v>13410000</v>
      </c>
      <c r="Q308" s="291">
        <v>135</v>
      </c>
      <c r="R308" s="68" t="s">
        <v>211</v>
      </c>
      <c r="S308" s="68" t="s">
        <v>220</v>
      </c>
      <c r="T308" s="67" t="s">
        <v>516</v>
      </c>
      <c r="U308" s="68">
        <v>156</v>
      </c>
      <c r="V308" s="68">
        <v>1363611</v>
      </c>
      <c r="W308" s="68"/>
      <c r="X308" s="68">
        <v>1.25</v>
      </c>
      <c r="Y308" s="68">
        <v>1.1679970000000011</v>
      </c>
      <c r="Z308" s="68">
        <v>1.1473410000000011</v>
      </c>
      <c r="AA308" s="68">
        <v>1.1985380000000001</v>
      </c>
      <c r="AB308" s="68">
        <v>1.2228619999999999</v>
      </c>
      <c r="AC308" s="68">
        <v>1.1186900000000011</v>
      </c>
      <c r="AD308" s="68">
        <v>1.1188428571428579</v>
      </c>
      <c r="AE308" s="68">
        <v>1.1317250000000001</v>
      </c>
      <c r="AF308" s="68">
        <f>IF($Z$3="yes", -0.0014365002625066/$X308, -0.0014365002625066)</f>
        <v>-1.1492002100052801E-3</v>
      </c>
      <c r="AG308" s="68">
        <f>IF($Z$3="yes", 0.00247575337533719/$X308, 0.00247575337533719)</f>
        <v>1.9806027002697521E-3</v>
      </c>
      <c r="AH308" s="68">
        <f>IF($Z$3="yes", -0.00462096038415378/$X308, -0.00462096038415378)</f>
        <v>-3.6967683073230242E-3</v>
      </c>
      <c r="AI308" s="68">
        <f>IF($Z$3="yes", -0.00326867226890762/$X308, -0.00326867226890762)</f>
        <v>-2.6149378151260959E-3</v>
      </c>
      <c r="AJ308" s="68">
        <f>IF($Z$3="yes", 0.00264406015037622/$X308, 0.00264406015037622)</f>
        <v>2.1152481203009759E-3</v>
      </c>
      <c r="AK308" s="68">
        <f>IF($Z$3="yes", 0.00734901098901035/$X308, 0.00734901098901035)</f>
        <v>5.8792087912082798E-3</v>
      </c>
      <c r="AL308" s="68">
        <f>IF($Z$3="yes", 0.0234642857142901/$X308, 0.0234642857142901)</f>
        <v>1.8771428571432082E-2</v>
      </c>
      <c r="AM308" s="68">
        <f>IF($Z$3="yes", 0.0206560000000002/$X308, 0.0206560000000002)</f>
        <v>1.6524800000000159E-2</v>
      </c>
      <c r="AN308" s="68">
        <f>IF($Z$3="yes", 0.030540999999999/$X308, 0.030540999999999)</f>
        <v>2.44327999999992E-2</v>
      </c>
      <c r="AO308" s="68">
        <f>IF($Z$3="yes", 0.054864999999999/$X308, 0.054864999999999)</f>
        <v>4.3891999999999196E-2</v>
      </c>
      <c r="AP308" s="68">
        <f>IF($Z$3="yes", 0.0493070000000006/$X308, 0.0493070000000006)</f>
        <v>3.9445600000000483E-2</v>
      </c>
      <c r="AQ308" s="68">
        <f>IF($Z$3="yes", 0.0491541428571433/$X308, 0.0491541428571433)</f>
        <v>3.9323314285714638E-2</v>
      </c>
      <c r="AR308" s="68">
        <f>IF($Z$3="yes", 0.0362720000000011/$X308, 0.0362720000000011)</f>
        <v>2.9017600000000882E-2</v>
      </c>
      <c r="AS308" s="68">
        <f>IF($Z$3="yes", 0.0511969999999992/$X308, 0.0511969999999992)</f>
        <v>4.0957599999999358E-2</v>
      </c>
      <c r="AT308" s="68">
        <f>IF($Z$3="yes", 0.0755209999999992/$X308, 0.0755209999999992)</f>
        <v>6.0416799999999361E-2</v>
      </c>
      <c r="AU308" s="88">
        <f>IF($Z$3="yes", 0.0286510000000004/$X308, 0.0286510000000004)</f>
        <v>2.2920800000000317E-2</v>
      </c>
      <c r="AV308" s="88">
        <f>IF($Z$3="yes", 0.0284981428571431/$X308, 0.0284981428571431)</f>
        <v>2.2798514285714479E-2</v>
      </c>
      <c r="AW308" s="88">
        <f>IF($Z$3="yes", 0.0156160000000009/$X308, 0.0156160000000009)</f>
        <v>1.249280000000072E-2</v>
      </c>
      <c r="AX308" s="88">
        <f>IF($Z$3="yes", 0.024324/$X308, 0.024324)</f>
        <v>1.9459199999999999E-2</v>
      </c>
      <c r="AY308" s="88">
        <f>IF($Z$3="yes", 0.104171999999999/$X308, 0.104171999999999)</f>
        <v>8.3337599999999207E-2</v>
      </c>
      <c r="AZ308" s="88">
        <f>IF($Z$3="yes", 0.104019142857142/$X308, 0.104019142857142)</f>
        <v>8.3215314285713604E-2</v>
      </c>
      <c r="BA308" s="88">
        <f>IF($Z$3="yes", 0.0911370000000002/$X308, 0.0911370000000002)</f>
        <v>7.2909600000000158E-2</v>
      </c>
      <c r="BB308" s="88">
        <f>IF($Z$3="yes", 0.0798479999999997/$X308, 0.0798479999999997)</f>
        <v>6.3878399999999752E-2</v>
      </c>
      <c r="BC308" s="88">
        <f>IF($Z$3="yes", 0.0796951428571424/$X308, 0.0796951428571424)</f>
        <v>6.3756114285713913E-2</v>
      </c>
      <c r="BD308" s="88">
        <f>IF($Z$3="yes", 0.0668130000000002/$X308, 0.0668130000000002)</f>
        <v>5.3450400000000162E-2</v>
      </c>
      <c r="BE308" s="88">
        <f>IF($Z$3="yes", 0.000152857142857287/$X308, 0.000152857142857287)</f>
        <v>1.2228571428582962E-4</v>
      </c>
      <c r="BF308" s="88">
        <f>IF($Z$3="yes", 0.0130349999999994/$X308, 0.0130349999999994)</f>
        <v>1.0427999999999519E-2</v>
      </c>
      <c r="BG308" s="88">
        <f>IF($Z$3="yes", 0.0128821428571421/$X308, 0.0128821428571421)</f>
        <v>1.0305714285713679E-2</v>
      </c>
      <c r="BH308" s="88">
        <f>IF($Z$3="yes", 0.15312987755102/$X308, 0.15312987755102)</f>
        <v>0.122503902040816</v>
      </c>
      <c r="BI308" s="68"/>
      <c r="BJ308" s="68"/>
      <c r="BK308" s="68">
        <f>IF($BL$3="yes", MAX(0, (1363611 - 516040.4) / 442198.279601628), 516040.4)</f>
        <v>516040.4</v>
      </c>
      <c r="BL308" s="68">
        <f>IF($BL$3="yes", MAX(0, (1363611 - 431246.4) / 449392.516307781), 431246.4)</f>
        <v>431246.4</v>
      </c>
      <c r="BM308" s="68">
        <f>IF($BL$3="yes", MAX(0, (1363611 - 690880.4) / 1670763.13440135), 690880.4)</f>
        <v>690880.4</v>
      </c>
      <c r="BN308" s="68">
        <f>IF($BL$3="yes", MAX(0, (1363611 - 426829.7) / 1097380.85411675), 426829.7)</f>
        <v>426829.7</v>
      </c>
      <c r="BO308" s="68">
        <f>IF($BL$3="yes", MAX(0, (1363611 - 938990.62) / 4822747.50234399), 938990.62)</f>
        <v>938990.62</v>
      </c>
      <c r="BP308" s="68">
        <f>IF($BL$3="yes", MAX(0, (1363611 - 478006.42) / 3441262.61402733), 478006.42)</f>
        <v>478006.42</v>
      </c>
      <c r="BQ308" s="68">
        <v>60.161679680439967</v>
      </c>
      <c r="BR308" s="68"/>
      <c r="BS308" s="68"/>
      <c r="BT308" s="68">
        <v>-56374419.365493327</v>
      </c>
      <c r="BU308" s="68">
        <v>108903.0796357244</v>
      </c>
      <c r="BV308" s="68">
        <f>IF($Z$3="yes", 0.110608113108784/$X308, 0.110608113108784)</f>
        <v>8.8486490487027197E-2</v>
      </c>
      <c r="BW308" s="68">
        <f>IF($Z$3="yes", 0.13622246323332/$X308, 0.13622246323332)</f>
        <v>0.108977970586656</v>
      </c>
      <c r="BX308" s="68">
        <f>$BW$54 - $BV$54</f>
        <v>-1.5197409129865433E-2</v>
      </c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81"/>
      <c r="CR308" s="81"/>
      <c r="CS308" s="68"/>
      <c r="CT308" s="68"/>
      <c r="CU308" s="68"/>
    </row>
    <row r="309" spans="1:99" ht="15.75" customHeight="1" thickBot="1" x14ac:dyDescent="0.3">
      <c r="A309" s="84"/>
      <c r="B309" s="67" t="s">
        <v>128</v>
      </c>
      <c r="C309" s="83" t="s">
        <v>685</v>
      </c>
      <c r="D309" s="67" t="s">
        <v>686</v>
      </c>
      <c r="E309" s="67">
        <v>1</v>
      </c>
      <c r="F309" s="85">
        <v>10.35</v>
      </c>
      <c r="G309" s="313">
        <v>44103</v>
      </c>
      <c r="H309" s="317">
        <v>33.67</v>
      </c>
      <c r="I309" s="317">
        <v>33.67</v>
      </c>
      <c r="J309" s="313">
        <v>44379</v>
      </c>
      <c r="K309" s="149">
        <f t="shared" si="10"/>
        <v>2.2531400966183579</v>
      </c>
      <c r="L309" s="149">
        <f t="shared" si="11"/>
        <v>2.2531400966183579</v>
      </c>
      <c r="M309" s="312">
        <v>44379</v>
      </c>
      <c r="N309" s="68"/>
      <c r="O309" s="291">
        <v>6744736</v>
      </c>
      <c r="P309" s="291">
        <v>5840000</v>
      </c>
      <c r="Q309" s="291">
        <v>276</v>
      </c>
      <c r="R309" s="68" t="s">
        <v>131</v>
      </c>
      <c r="S309" s="68" t="s">
        <v>473</v>
      </c>
      <c r="T309" s="68" t="s">
        <v>221</v>
      </c>
      <c r="U309" s="68">
        <v>428</v>
      </c>
      <c r="V309" s="68">
        <v>100969.60000000001</v>
      </c>
      <c r="W309" s="68"/>
      <c r="X309" s="68">
        <v>10.1595</v>
      </c>
      <c r="Y309" s="68">
        <v>22.419600000000042</v>
      </c>
      <c r="Z309" s="68">
        <v>14.53749</v>
      </c>
      <c r="AA309" s="68">
        <v>12.202560000000011</v>
      </c>
      <c r="AB309" s="68">
        <v>12.842309999999999</v>
      </c>
      <c r="AC309" s="68">
        <v>10.740675</v>
      </c>
      <c r="AD309" s="68">
        <v>10.43710714285714</v>
      </c>
      <c r="AE309" s="68">
        <v>10.26075</v>
      </c>
      <c r="AF309" s="68">
        <f>IF($Z$3="yes", -0.197132776569415/$X309, -0.197132776569415)</f>
        <v>-1.9403787250299228E-2</v>
      </c>
      <c r="AG309" s="68">
        <f>IF($Z$3="yes", -0.0814045724572505/$X309, -0.0814045724572505)</f>
        <v>-8.0126553922191552E-3</v>
      </c>
      <c r="AH309" s="68">
        <f>IF($Z$3="yes", -0.0801277310924389/$X309, -0.0801277310924389)</f>
        <v>-7.8869758445237366E-3</v>
      </c>
      <c r="AI309" s="68">
        <f>IF($Z$3="yes", -0.053495438175271/$X309, -0.053495438175271)</f>
        <v>-5.2655581647985629E-3</v>
      </c>
      <c r="AJ309" s="68">
        <f>IF($Z$3="yes", -0.0824853383458625/$X309, -0.0824853383458625)</f>
        <v>-8.1190352227828635E-3</v>
      </c>
      <c r="AK309" s="68">
        <f>IF($Z$3="yes", -0.0311571428571356/$X309, -0.0311571428571356)</f>
        <v>-3.0667988441493775E-3</v>
      </c>
      <c r="AL309" s="68">
        <f>IF($Z$3="yes", 0.0509642857143081/$X309, 0.0509642857143081)</f>
        <v>5.0164167246722867E-3</v>
      </c>
      <c r="AM309" s="68">
        <f>IF($Z$3="yes", 7.88211000000004/$X309, 7.88211000000004)</f>
        <v>0.77583640927211384</v>
      </c>
      <c r="AN309" s="68">
        <f>IF($Z$3="yes", 10.21704/$X309, 10.21704)</f>
        <v>1.0056636645504209</v>
      </c>
      <c r="AO309" s="68">
        <f>IF($Z$3="yes", 9.57729000000003/$X309, 9.57729000000003)</f>
        <v>0.94269304591761705</v>
      </c>
      <c r="AP309" s="68">
        <f>IF($Z$3="yes", 11.678925/$X309, 11.678925)</f>
        <v>1.1495570648161819</v>
      </c>
      <c r="AQ309" s="68">
        <f>IF($Z$3="yes", 11.9824928571429/$X309, 11.9824928571429)</f>
        <v>1.1794372613950392</v>
      </c>
      <c r="AR309" s="68">
        <f>IF($Z$3="yes", 12.15885/$X309, 12.15885)</f>
        <v>1.1967961021703823</v>
      </c>
      <c r="AS309" s="68">
        <f>IF($Z$3="yes", 2.33492999999998/$X309, 2.33492999999998)</f>
        <v>0.22982725527830897</v>
      </c>
      <c r="AT309" s="68">
        <f>IF($Z$3="yes", 1.69517999999999/$X309, 1.69517999999999)</f>
        <v>0.16685663664550324</v>
      </c>
      <c r="AU309" s="88">
        <f>IF($Z$3="yes", 3.796815/$X309, 3.796815)</f>
        <v>0.37372065554407208</v>
      </c>
      <c r="AV309" s="88">
        <f>IF($Z$3="yes", 4.10038285714286/$X309, 4.10038285714286)</f>
        <v>0.4036008521229254</v>
      </c>
      <c r="AW309" s="88">
        <f>IF($Z$3="yes", 4.27674/$X309, 4.27674)</f>
        <v>0.42095969289827262</v>
      </c>
      <c r="AX309" s="88">
        <f>IF($Z$3="yes", 0.639749999999994/$X309, 0.639749999999994)</f>
        <v>6.2970618632806147E-2</v>
      </c>
      <c r="AY309" s="88">
        <f>IF($Z$3="yes", 2.101635/$X309, 2.101635)</f>
        <v>0.20686401889856784</v>
      </c>
      <c r="AZ309" s="88">
        <f>IF($Z$3="yes", 2.40520285714286/$X309, 2.40520285714286)</f>
        <v>0.23674421547742114</v>
      </c>
      <c r="BA309" s="88">
        <f>IF($Z$3="yes", 2.58156/$X309, 2.58156)</f>
        <v>0.25410305625276836</v>
      </c>
      <c r="BB309" s="88">
        <f>IF($Z$3="yes", 1.46188500000001/$X309, 1.46188500000001)</f>
        <v>0.14389340026576211</v>
      </c>
      <c r="BC309" s="88">
        <f>IF($Z$3="yes", 1.76545285714287/$X309, 1.76545285714287)</f>
        <v>0.17377359684461541</v>
      </c>
      <c r="BD309" s="88">
        <f>IF($Z$3="yes", 1.94181000000001/$X309, 1.94181000000001)</f>
        <v>0.1911324376199626</v>
      </c>
      <c r="BE309" s="88">
        <f>IF($Z$3="yes", 0.30356785714286/$X309, 0.30356785714286)</f>
        <v>2.9880196578853293E-2</v>
      </c>
      <c r="BF309" s="88">
        <f>IF($Z$3="yes", 0.479925000000001/$X309, 0.479925000000001)</f>
        <v>4.7239037354200604E-2</v>
      </c>
      <c r="BG309" s="88">
        <f>IF($Z$3="yes", 0.17635714285714/$X309, 0.17635714285714)</f>
        <v>1.735884077534721E-2</v>
      </c>
      <c r="BH309" s="88">
        <f>IF($Z$3="yes", 4.57888612244898/$X309, 4.57888612244898)</f>
        <v>0.45069994807313152</v>
      </c>
      <c r="BI309" s="68"/>
      <c r="BJ309" s="68"/>
      <c r="BK309" s="68">
        <f>IF($BL$3="yes", MAX(0, (100969.6 - 73145.5333333333) / 28602.1200485403), 73145.5333333333)</f>
        <v>73145.533333333296</v>
      </c>
      <c r="BL309" s="68">
        <f>IF($BL$3="yes", MAX(0, (100969.6 - 43581.8199999999) / 35969.1514199975), 43581.8199999999)</f>
        <v>43581.819999999898</v>
      </c>
      <c r="BM309" s="68">
        <f>IF($BL$3="yes", MAX(0, (100969.6 - 31384.18) / 29027.8978093381), 31384.18)</f>
        <v>31384.18</v>
      </c>
      <c r="BN309" s="68">
        <f>IF($BL$3="yes", MAX(0, (100969.6 - 31449.3026666666) / 24262.0341215752), 31449.3026666666)</f>
        <v>31449.302666666601</v>
      </c>
      <c r="BO309" s="68">
        <f>IF($BL$3="yes", MAX(0, (100969.6 - 34880.938) / 31904.7577787239), 34880.938)</f>
        <v>34880.938000000002</v>
      </c>
      <c r="BP309" s="68">
        <f>IF($BL$3="yes", MAX(0, (100969.6 - 36749.527) / 27914.1739033341), 36749.527)</f>
        <v>36749.527000000002</v>
      </c>
      <c r="BQ309" s="68">
        <v>38.450065890142618</v>
      </c>
      <c r="BR309" s="68"/>
      <c r="BS309" s="68"/>
      <c r="BT309" s="68">
        <v>-858836.49251462659</v>
      </c>
      <c r="BU309" s="68">
        <v>5653.9973855365533</v>
      </c>
      <c r="BV309" s="68">
        <f>IF($Z$3="yes", 1.06403765065173/$X309, 1.06403765065173)</f>
        <v>0.10473326941795659</v>
      </c>
      <c r="BW309" s="68">
        <f>IF($Z$3="yes", 1.13021705878326/$X309, 1.13021705878326)</f>
        <v>0.11124731126367046</v>
      </c>
      <c r="BX309" s="68">
        <f>$BW$53 - $BV$53</f>
        <v>1.7010493109876013E-2</v>
      </c>
      <c r="BY309" s="68"/>
      <c r="BZ309" s="68"/>
      <c r="CA309" s="68"/>
      <c r="CB309" s="68"/>
      <c r="CC309" s="68"/>
      <c r="CD309" s="68"/>
      <c r="CE309" s="68"/>
      <c r="CF309" s="68"/>
      <c r="CG309" s="68"/>
      <c r="CH309" s="68"/>
      <c r="CI309" s="68"/>
      <c r="CJ309" s="68"/>
      <c r="CK309" s="68"/>
      <c r="CL309" s="68"/>
      <c r="CM309" s="68"/>
      <c r="CN309" s="68"/>
      <c r="CO309" s="68"/>
      <c r="CP309" s="68"/>
      <c r="CQ309" s="81"/>
      <c r="CR309" s="81"/>
      <c r="CS309" s="68"/>
      <c r="CT309" s="68"/>
      <c r="CU309" s="68"/>
    </row>
    <row r="310" spans="1:99" ht="15.75" customHeight="1" thickBot="1" x14ac:dyDescent="0.3">
      <c r="A310" s="84"/>
      <c r="B310" s="67" t="s">
        <v>181</v>
      </c>
      <c r="C310" s="83" t="s">
        <v>687</v>
      </c>
      <c r="D310" s="67" t="s">
        <v>688</v>
      </c>
      <c r="E310" s="67">
        <v>1</v>
      </c>
      <c r="F310" s="85">
        <v>3.4799999999999998E-2</v>
      </c>
      <c r="G310" s="313">
        <v>44057</v>
      </c>
      <c r="H310" s="317">
        <v>0.4299</v>
      </c>
      <c r="I310" s="85">
        <v>0.51500000000000001</v>
      </c>
      <c r="J310" s="313">
        <v>44237</v>
      </c>
      <c r="K310" s="149">
        <f t="shared" si="10"/>
        <v>11.353448275862069</v>
      </c>
      <c r="L310" s="149">
        <f t="shared" si="11"/>
        <v>13.798850574712645</v>
      </c>
      <c r="M310" s="312">
        <v>44379</v>
      </c>
      <c r="N310" s="68"/>
      <c r="O310" s="68">
        <v>78612608</v>
      </c>
      <c r="P310" s="68"/>
      <c r="Q310" s="68">
        <v>180</v>
      </c>
      <c r="R310" s="68"/>
      <c r="S310" s="68" t="s">
        <v>148</v>
      </c>
      <c r="T310" s="68"/>
      <c r="U310" s="68">
        <v>204</v>
      </c>
      <c r="V310" s="68">
        <v>1716265</v>
      </c>
      <c r="W310" s="68"/>
      <c r="X310" s="68">
        <v>3.4799999999999998E-2</v>
      </c>
      <c r="Y310" s="68">
        <v>0.56353799999999998</v>
      </c>
      <c r="Z310" s="68">
        <v>0.2005860000000019</v>
      </c>
      <c r="AA310" s="68">
        <v>7.7064000000000382E-2</v>
      </c>
      <c r="AB310" s="68">
        <v>0.11938200000000029</v>
      </c>
      <c r="AC310" s="68">
        <v>3.6000000000000011E-2</v>
      </c>
      <c r="AD310" s="68">
        <v>3.500000000000001E-2</v>
      </c>
      <c r="AE310" s="68">
        <v>3.6662500000000008E-2</v>
      </c>
      <c r="AF310" s="68">
        <f>IF($Z$3="yes", -0.00616974919372984/$X310, -0.00616974919372984)</f>
        <v>-0.1772916434979839</v>
      </c>
      <c r="AG310" s="68">
        <f>IF($Z$3="yes", -0.00493937953795418/$X310, -0.00493937953795418)</f>
        <v>-0.14193619361937301</v>
      </c>
      <c r="AH310" s="68">
        <f>IF($Z$3="yes", -0.00328198799519825/$X310, -0.00328198799519825)</f>
        <v>-9.4309999862018684E-2</v>
      </c>
      <c r="AI310" s="68">
        <f>IF($Z$3="yes", -0.00542798079231706/$X310, -0.00542798079231706)</f>
        <v>-0.15597645954934081</v>
      </c>
      <c r="AJ310" s="68">
        <f>IF($Z$3="yes", -0.000115939849624062/$X310, -0.000115939849624062)</f>
        <v>-3.3316048742546554E-3</v>
      </c>
      <c r="AK310" s="68">
        <f>IF($Z$3="yes", 0.000326153846153842/$X310, 0.000326153846153842)</f>
        <v>9.3722369584437366E-3</v>
      </c>
      <c r="AL310" s="68">
        <f>IF($Z$3="yes", -0.000436904761904737/$X310, -0.000436904761904737)</f>
        <v>-1.2554734537492444E-2</v>
      </c>
      <c r="AM310" s="68">
        <f>IF($Z$3="yes", 0.362951999999998/$X310, 0.362951999999998)</f>
        <v>10.429655172413737</v>
      </c>
      <c r="AN310" s="68">
        <f>IF($Z$3="yes", 0.486473999999999/$X310, 0.486473999999999)</f>
        <v>13.979137931034456</v>
      </c>
      <c r="AO310" s="68">
        <f>IF($Z$3="yes", 0.444155999999999/$X310, 0.444155999999999)</f>
        <v>12.763103448275833</v>
      </c>
      <c r="AP310" s="68">
        <f>IF($Z$3="yes", 0.527538/$X310, 0.527538)</f>
        <v>15.159137931034483</v>
      </c>
      <c r="AQ310" s="68">
        <f>IF($Z$3="yes", 0.528538/$X310, 0.528538)</f>
        <v>15.187873563218391</v>
      </c>
      <c r="AR310" s="68">
        <f>IF($Z$3="yes", 0.526875499999999/$X310, 0.526875499999999)</f>
        <v>15.140100574712617</v>
      </c>
      <c r="AS310" s="68">
        <f>IF($Z$3="yes", 0.123522000000001/$X310, 0.123522000000001)</f>
        <v>3.5494827586207189</v>
      </c>
      <c r="AT310" s="68">
        <f>IF($Z$3="yes", 0.0812040000000016/$X310, 0.0812040000000016)</f>
        <v>2.3334482758621151</v>
      </c>
      <c r="AU310" s="88">
        <f>IF($Z$3="yes", 0.164586000000001/$X310, 0.164586000000001)</f>
        <v>4.7294827586207191</v>
      </c>
      <c r="AV310" s="88">
        <f>IF($Z$3="yes", 0.165586000000001/$X310, 0.165586000000001)</f>
        <v>4.7582183908046272</v>
      </c>
      <c r="AW310" s="88">
        <f>IF($Z$3="yes", 0.163923500000001/$X310, 0.163923500000001)</f>
        <v>4.7104454022988795</v>
      </c>
      <c r="AX310" s="88">
        <f>IF($Z$3="yes", 0.0423179999999999/$X310, 0.0423179999999999)</f>
        <v>1.2160344827586178</v>
      </c>
      <c r="AY310" s="88">
        <f>IF($Z$3="yes", 0.0833820000000003/$X310, 0.0833820000000003)</f>
        <v>2.3960344827586297</v>
      </c>
      <c r="AZ310" s="88">
        <f>IF($Z$3="yes", 0.0843820000000003/$X310, 0.0843820000000003)</f>
        <v>2.4247701149425378</v>
      </c>
      <c r="BA310" s="88">
        <f>IF($Z$3="yes", 0.0827195000000003/$X310, 0.0827195000000003)</f>
        <v>2.3769971264367906</v>
      </c>
      <c r="BB310" s="88">
        <f>IF($Z$3="yes", 0.0410640000000003/$X310, 0.0410640000000003)</f>
        <v>1.1800000000000088</v>
      </c>
      <c r="BC310" s="88">
        <f>IF($Z$3="yes", 0.0420640000000003/$X310, 0.0420640000000003)</f>
        <v>1.2087356321839169</v>
      </c>
      <c r="BD310" s="88">
        <f>IF($Z$3="yes", 0.0404015000000003/$X310, 0.0404015000000003)</f>
        <v>1.1609626436781695</v>
      </c>
      <c r="BE310" s="88">
        <f>IF($Z$3="yes", 0.001/$X310, 0.001)</f>
        <v>2.8735632183908049E-2</v>
      </c>
      <c r="BF310" s="88">
        <f>IF($Z$3="yes", 0.000662500000000003/$X310, 0.000662500000000003)</f>
        <v>1.9037356321839168E-2</v>
      </c>
      <c r="BG310" s="88">
        <f>IF($Z$3="yes", 0.0016625/$X310, 0.0016625)</f>
        <v>4.7772988505747127E-2</v>
      </c>
      <c r="BH310" s="88">
        <f>IF($Z$3="yes", 0.0444027891156462/$X310, 0.0444027891156462)</f>
        <v>1.275942215966845</v>
      </c>
      <c r="BI310" s="68"/>
      <c r="BJ310" s="68"/>
      <c r="BK310" s="68">
        <f>IF($BL$3="yes", MAX(0, (1716265 - 2018118) / 1595631.66784919), 2018118)</f>
        <v>2018118</v>
      </c>
      <c r="BL310" s="68">
        <f>IF($BL$3="yes", MAX(0, (1716265 - 1716523.1) / 1207960.15529424), 1716523.1)</f>
        <v>1716523.1</v>
      </c>
      <c r="BM310" s="68">
        <f>IF($BL$3="yes", MAX(0, (1716265 - 2522747.55) / 2077732.49171914), 2522747.55)</f>
        <v>2522747.5499999998</v>
      </c>
      <c r="BN310" s="68">
        <f>IF($BL$3="yes", MAX(0, (1716265 - 1396683.72) / 1670852.7966555), 1396683.72)</f>
        <v>1396683.72</v>
      </c>
      <c r="BO310" s="68">
        <f>IF($BL$3="yes", MAX(0, (1716265 - 721536.55) / 1361579.08068311), 721536.55)</f>
        <v>721536.55</v>
      </c>
      <c r="BP310" s="68">
        <f>IF($BL$3="yes", MAX(0, (1716265 - 362363.945) / 1027598.94043974), 362363.945)</f>
        <v>362363.94500000001</v>
      </c>
      <c r="BQ310" s="68">
        <v>42.432004382154282</v>
      </c>
      <c r="BR310" s="68"/>
      <c r="BS310" s="68"/>
      <c r="BT310" s="68">
        <v>-11440346.94197239</v>
      </c>
      <c r="BU310" s="68">
        <v>-359880.32350556552</v>
      </c>
      <c r="BV310" s="68">
        <f>IF($Z$3="yes", 0.0169140117161547/$X310, 0.0169140117161547)</f>
        <v>0.48603481942973281</v>
      </c>
      <c r="BW310" s="68">
        <f>IF($Z$3="yes", 0.0420407142004012/$X310, 0.0420407142004012)</f>
        <v>1.2080665000115289</v>
      </c>
      <c r="BX310" s="68">
        <f>$BW$45 - $BV$45</f>
        <v>2.4852849973554469E-2</v>
      </c>
      <c r="BY310" s="68"/>
      <c r="BZ310" s="68"/>
      <c r="CA310" s="68"/>
      <c r="CB310" s="68"/>
      <c r="CC310" s="68"/>
      <c r="CD310" s="68"/>
      <c r="CE310" s="68"/>
      <c r="CF310" s="68"/>
      <c r="CG310" s="68"/>
      <c r="CH310" s="68"/>
      <c r="CI310" s="68"/>
      <c r="CJ310" s="68"/>
      <c r="CK310" s="68"/>
      <c r="CL310" s="68"/>
      <c r="CM310" s="68"/>
      <c r="CN310" s="68"/>
      <c r="CO310" s="68"/>
      <c r="CP310" s="68"/>
      <c r="CQ310" s="81"/>
      <c r="CR310" s="81"/>
      <c r="CS310" s="68"/>
      <c r="CT310" s="68"/>
      <c r="CU310" s="68"/>
    </row>
    <row r="311" spans="1:99" ht="15.75" customHeight="1" thickBot="1" x14ac:dyDescent="0.3">
      <c r="A311" s="84"/>
      <c r="B311" s="67" t="s">
        <v>181</v>
      </c>
      <c r="C311" s="83" t="s">
        <v>687</v>
      </c>
      <c r="D311" s="67" t="s">
        <v>456</v>
      </c>
      <c r="E311" s="67">
        <v>1</v>
      </c>
      <c r="F311" s="85">
        <v>2.7E-2</v>
      </c>
      <c r="G311" s="313">
        <v>44057</v>
      </c>
      <c r="H311" s="317">
        <v>4.6800000000000001E-2</v>
      </c>
      <c r="I311" s="85">
        <v>0.182</v>
      </c>
      <c r="J311" s="313">
        <v>44251</v>
      </c>
      <c r="K311" s="243">
        <f t="shared" si="10"/>
        <v>0.73333333333333339</v>
      </c>
      <c r="L311" s="149">
        <f t="shared" si="11"/>
        <v>5.7407407407407405</v>
      </c>
      <c r="M311" s="312">
        <v>44379</v>
      </c>
      <c r="N311" s="68"/>
      <c r="O311" s="68">
        <v>369462271</v>
      </c>
      <c r="P311" s="68"/>
      <c r="Q311" s="68">
        <v>194</v>
      </c>
      <c r="R311" s="68"/>
      <c r="S311" s="68" t="s">
        <v>148</v>
      </c>
      <c r="T311" s="68"/>
      <c r="U311" s="68">
        <v>2004</v>
      </c>
      <c r="V311" s="68">
        <v>87776035</v>
      </c>
      <c r="W311" s="68"/>
      <c r="X311" s="68">
        <v>2.7E-2</v>
      </c>
      <c r="Y311" s="68">
        <v>2.0050000000000011E-3</v>
      </c>
      <c r="Z311" s="68">
        <v>3.615000000000001E-3</v>
      </c>
      <c r="AA311" s="68">
        <v>6.577999999999997E-3</v>
      </c>
      <c r="AB311" s="68">
        <v>2.1039999999999969E-3</v>
      </c>
      <c r="AC311" s="68">
        <v>1.3305000000000001E-2</v>
      </c>
      <c r="AD311" s="68">
        <v>1.7707142857142848E-2</v>
      </c>
      <c r="AE311" s="68">
        <v>2.88875E-2</v>
      </c>
      <c r="AF311" s="68">
        <f>IF($Z$3="yes", 0.0000429400735018375/$X311, 0.0000429400735018375)</f>
        <v>1.5903730926606482E-3</v>
      </c>
      <c r="AG311" s="68">
        <f>IF($Z$3="yes", 0.000149786378637863/$X311, 0.000149786378637863)</f>
        <v>5.5476436532541857E-3</v>
      </c>
      <c r="AH311" s="68">
        <f>IF($Z$3="yes", 0.000465406962785115/$X311, 0.000465406962785115)</f>
        <v>1.7237294917967223E-2</v>
      </c>
      <c r="AI311" s="68">
        <f>IF($Z$3="yes", 0.0000406050420168076/$X311, 0.0000406050420168076)</f>
        <v>1.5038904450669481E-3</v>
      </c>
      <c r="AJ311" s="68">
        <f>IF($Z$3="yes", 0.00209375939849624/$X311, 0.00209375939849624)</f>
        <v>7.7546644388749628E-2</v>
      </c>
      <c r="AK311" s="68">
        <f>IF($Z$3="yes", 0.00342175824175824/$X311, 0.00342175824175824)</f>
        <v>0.12673178673178667</v>
      </c>
      <c r="AL311" s="68">
        <f>IF($Z$3="yes", 0.00362738095238095/$X311, 0.00362738095238095)</f>
        <v>0.13434744268077592</v>
      </c>
      <c r="AM311" s="68">
        <f>IF($Z$3="yes", 0.00160999999999999/$X311, 0.00160999999999999)</f>
        <v>5.9629629629629255E-2</v>
      </c>
      <c r="AN311" s="68">
        <f>IF($Z$3="yes", 0.00457299999999999/$X311, 0.00457299999999999)</f>
        <v>0.16937037037037</v>
      </c>
      <c r="AO311" s="68">
        <f>IF($Z$3="yes", 0.0000989999999999957/$X311, 0.0000989999999999957)</f>
        <v>3.6666666666665074E-3</v>
      </c>
      <c r="AP311" s="68">
        <f>IF($Z$3="yes", 0.0113/$X311, 0.0113)</f>
        <v>0.41851851851851851</v>
      </c>
      <c r="AQ311" s="68">
        <f>IF($Z$3="yes", 0.0157021428571428/$X311, 0.0157021428571428)</f>
        <v>0.5815608465608445</v>
      </c>
      <c r="AR311" s="68">
        <f>IF($Z$3="yes", 0.0268825/$X311, 0.0268825)</f>
        <v>0.99564814814814817</v>
      </c>
      <c r="AS311" s="68">
        <f>IF($Z$3="yes", 0.00296299999999999/$X311, 0.00296299999999999)</f>
        <v>0.10974074074074038</v>
      </c>
      <c r="AT311" s="68">
        <f>IF($Z$3="yes", 0.001511/$X311, 0.001511)</f>
        <v>5.5962962962962964E-2</v>
      </c>
      <c r="AU311" s="88">
        <f>IF($Z$3="yes", 0.00969/$X311, 0.00969)</f>
        <v>0.35888888888888892</v>
      </c>
      <c r="AV311" s="88">
        <f>IF($Z$3="yes", 0.0140921428571428/$X311, 0.0140921428571428)</f>
        <v>0.5219312169312148</v>
      </c>
      <c r="AW311" s="88">
        <f>IF($Z$3="yes", 0.0252725/$X311, 0.0252725)</f>
        <v>0.93601851851851847</v>
      </c>
      <c r="AX311" s="88">
        <f>IF($Z$3="yes", 0.004474/$X311, 0.004474)</f>
        <v>0.16570370370370369</v>
      </c>
      <c r="AY311" s="88">
        <f>IF($Z$3="yes", 0.011201/$X311, 0.011201)</f>
        <v>0.41485185185185181</v>
      </c>
      <c r="AZ311" s="88">
        <f>IF($Z$3="yes", 0.0156031428571428/$X311, 0.0156031428571428)</f>
        <v>0.5778941798941778</v>
      </c>
      <c r="BA311" s="88">
        <f>IF($Z$3="yes", 0.0267835/$X311, 0.0267835)</f>
        <v>0.99198148148148146</v>
      </c>
      <c r="BB311" s="88">
        <f>IF($Z$3="yes", 0.006727/$X311, 0.006727)</f>
        <v>0.24914814814814817</v>
      </c>
      <c r="BC311" s="88">
        <f>IF($Z$3="yes", 0.0111291428571428/$X311, 0.0111291428571428)</f>
        <v>0.41219047619047405</v>
      </c>
      <c r="BD311" s="88">
        <f>IF($Z$3="yes", 0.0223095/$X311, 0.0223095)</f>
        <v>0.82627777777777778</v>
      </c>
      <c r="BE311" s="88">
        <f>IF($Z$3="yes", 0.00440214285714284/$X311, 0.00440214285714284)</f>
        <v>0.16304232804232741</v>
      </c>
      <c r="BF311" s="88">
        <f>IF($Z$3="yes", 0.0155824999999999/$X311, 0.0155824999999999)</f>
        <v>0.577129629629626</v>
      </c>
      <c r="BG311" s="88">
        <f>IF($Z$3="yes", 0.0111803571428571/$X311, 0.0111803571428571)</f>
        <v>0.41408730158730001</v>
      </c>
      <c r="BH311" s="88">
        <f>IF($Z$3="yes", 0.013499962585034/$X311, 0.013499962585034)</f>
        <v>0.4999986142605185</v>
      </c>
      <c r="BI311" s="68"/>
      <c r="BJ311" s="68"/>
      <c r="BK311" s="68">
        <f>IF($BL$3="yes", MAX(0, (87776035 - 75599358) / 12846947.5563979), 75599358)</f>
        <v>75599358</v>
      </c>
      <c r="BL311" s="68">
        <f>IF($BL$3="yes", MAX(0, (87776035 - 70112814) / 38976249.9054766), 70112814)</f>
        <v>70112814</v>
      </c>
      <c r="BM311" s="68">
        <f>IF($BL$3="yes", MAX(0, (87776035 - 41239799.2) / 40375868.3441728), 41239799.2)</f>
        <v>41239799.200000003</v>
      </c>
      <c r="BN311" s="68">
        <f>IF($BL$3="yes", MAX(0, (87776035 - 25398244.74) / 30677774.5655687), 25398244.74)</f>
        <v>25398244.739999998</v>
      </c>
      <c r="BO311" s="68">
        <f>IF($BL$3="yes", MAX(0, (87776035 - 15964634.5) / 27074470.3158175), 15964634.5)</f>
        <v>15964634.5</v>
      </c>
      <c r="BP311" s="68">
        <f>IF($BL$3="yes", MAX(0, (87776035 - 9563935.29) / 21205741.0018374), 9563935.29)</f>
        <v>9563935.2899999991</v>
      </c>
      <c r="BQ311" s="68">
        <v>60.99884188462191</v>
      </c>
      <c r="BR311" s="68"/>
      <c r="BS311" s="68"/>
      <c r="BT311" s="68">
        <v>420492081.72416139</v>
      </c>
      <c r="BU311" s="68">
        <v>-16047454.284822339</v>
      </c>
      <c r="BV311" s="68">
        <f>IF($Z$3="yes", 0.00774741612266432/$X311, 0.00774741612266432)</f>
        <v>0.28694133787645631</v>
      </c>
      <c r="BW311" s="68">
        <f>IF($Z$3="yes", 0.00110450708080173/$X311, 0.00110450708080173)</f>
        <v>4.0907669659323333E-2</v>
      </c>
      <c r="BX311" s="68">
        <f>$BW$46 - $BV$46</f>
        <v>5.2348648466165493E-2</v>
      </c>
      <c r="BY311" s="68"/>
      <c r="BZ311" s="68"/>
      <c r="CA311" s="68"/>
      <c r="CB311" s="68"/>
      <c r="CC311" s="68"/>
      <c r="CD311" s="68"/>
      <c r="CE311" s="68"/>
      <c r="CF311" s="68"/>
      <c r="CG311" s="68"/>
      <c r="CH311" s="68"/>
      <c r="CI311" s="68"/>
      <c r="CJ311" s="68"/>
      <c r="CK311" s="68"/>
      <c r="CL311" s="68"/>
      <c r="CM311" s="68"/>
      <c r="CN311" s="68"/>
      <c r="CO311" s="68"/>
      <c r="CP311" s="68"/>
      <c r="CQ311" s="81"/>
      <c r="CR311" s="81"/>
      <c r="CS311" s="68"/>
      <c r="CT311" s="68"/>
      <c r="CU311" s="68"/>
    </row>
    <row r="312" spans="1:99" ht="15.75" customHeight="1" thickBot="1" x14ac:dyDescent="0.3">
      <c r="A312" s="84"/>
      <c r="B312" s="67" t="s">
        <v>181</v>
      </c>
      <c r="C312" s="83" t="s">
        <v>687</v>
      </c>
      <c r="D312" s="67" t="s">
        <v>689</v>
      </c>
      <c r="E312" s="67">
        <v>1</v>
      </c>
      <c r="F312" s="85">
        <v>0.01</v>
      </c>
      <c r="G312" s="313">
        <v>44057</v>
      </c>
      <c r="H312" s="317">
        <v>3.5000000000000001E-3</v>
      </c>
      <c r="I312" s="85">
        <v>1.4999999999999999E-2</v>
      </c>
      <c r="J312" s="313">
        <v>44091</v>
      </c>
      <c r="K312" s="125">
        <f t="shared" si="10"/>
        <v>-0.65</v>
      </c>
      <c r="L312" s="124">
        <f t="shared" si="11"/>
        <v>0.5</v>
      </c>
      <c r="M312" s="312">
        <v>44379</v>
      </c>
      <c r="N312" s="68"/>
      <c r="O312" s="68">
        <v>2601061314</v>
      </c>
      <c r="P312" s="68"/>
      <c r="Q312" s="68">
        <v>34</v>
      </c>
      <c r="R312" s="68"/>
      <c r="S312" s="68" t="s">
        <v>148</v>
      </c>
      <c r="T312" s="68"/>
      <c r="U312" s="68">
        <v>2004</v>
      </c>
      <c r="V312" s="68">
        <v>43874541</v>
      </c>
      <c r="W312" s="68"/>
      <c r="X312" s="68">
        <v>0.01</v>
      </c>
      <c r="Y312" s="68">
        <v>1.9979999999999989E-3</v>
      </c>
      <c r="Z312" s="68">
        <v>2.9740000000000001E-3</v>
      </c>
      <c r="AA312" s="68">
        <v>4.2599999999999982E-3</v>
      </c>
      <c r="AB312" s="68">
        <v>2.5560000000000001E-3</v>
      </c>
      <c r="AC312" s="68">
        <v>6.3950000000000014E-3</v>
      </c>
      <c r="AD312" s="68">
        <v>8.0285714285714266E-3</v>
      </c>
      <c r="AE312" s="68">
        <v>1.19875E-2</v>
      </c>
      <c r="AF312" s="68">
        <f>IF($Z$3="yes", 0.0000232138303457586/$X312, 0.0000232138303457586)</f>
        <v>2.3213830345758598E-3</v>
      </c>
      <c r="AG312" s="68">
        <f>IF($Z$3="yes", 0.0000577857785778578/$X312, 0.0000577857785778578)</f>
        <v>5.7785778577857799E-3</v>
      </c>
      <c r="AH312" s="68">
        <f>IF($Z$3="yes", 0.000153546218487396/$X312, 0.000153546218487396)</f>
        <v>1.5354621848739598E-2</v>
      </c>
      <c r="AI312" s="68">
        <f>IF($Z$3="yes", 0.00002598799519808/$X312, 0.00002598799519808)</f>
        <v>2.5987995198079998E-3</v>
      </c>
      <c r="AJ312" s="68">
        <f>IF($Z$3="yes", 0.000713007518796992/$X312, 0.000713007518796992)</f>
        <v>7.1300751879699198E-2</v>
      </c>
      <c r="AK312" s="68">
        <f>IF($Z$3="yes", 0.00107120879120879/$X312, 0.00107120879120879)</f>
        <v>0.107120879120879</v>
      </c>
      <c r="AL312" s="68">
        <f>IF($Z$3="yes", 0.000532142857142855/$X312, 0.000532142857142855)</f>
        <v>5.3214285714285506E-2</v>
      </c>
      <c r="AM312" s="68">
        <f>IF($Z$3="yes", 0.000976000000000001/$X312, 0.000976000000000001)</f>
        <v>9.7600000000000089E-2</v>
      </c>
      <c r="AN312" s="68">
        <f>IF($Z$3="yes", 0.00226199999999999/$X312, 0.00226199999999999)</f>
        <v>0.22619999999999901</v>
      </c>
      <c r="AO312" s="68">
        <f>IF($Z$3="yes", 0.000558000000000001/$X312, 0.000558000000000001)</f>
        <v>5.58000000000001E-2</v>
      </c>
      <c r="AP312" s="68">
        <f>IF($Z$3="yes", 0.004397/$X312, 0.004397)</f>
        <v>0.43969999999999998</v>
      </c>
      <c r="AQ312" s="68">
        <f>IF($Z$3="yes", 0.00603057142857142/$X312, 0.00603057142857142)</f>
        <v>0.60305714285714196</v>
      </c>
      <c r="AR312" s="68">
        <f>IF($Z$3="yes", 0.0099895/$X312, 0.0099895)</f>
        <v>0.99895</v>
      </c>
      <c r="AS312" s="68">
        <f>IF($Z$3="yes", 0.00128599999999999/$X312, 0.00128599999999999)</f>
        <v>0.12859999999999899</v>
      </c>
      <c r="AT312" s="68">
        <f>IF($Z$3="yes", 0.000417999999999999/$X312, 0.000417999999999999)</f>
        <v>4.17999999999999E-2</v>
      </c>
      <c r="AU312" s="88">
        <f>IF($Z$3="yes", 0.003421/$X312, 0.003421)</f>
        <v>0.34210000000000002</v>
      </c>
      <c r="AV312" s="88">
        <f>IF($Z$3="yes", 0.00505457142857142/$X312, 0.00505457142857142)</f>
        <v>0.50545714285714205</v>
      </c>
      <c r="AW312" s="88">
        <f>IF($Z$3="yes", 0.0090135/$X312, 0.0090135)</f>
        <v>0.9013500000000001</v>
      </c>
      <c r="AX312" s="88">
        <f>IF($Z$3="yes", 0.00170399999999999/$X312, 0.00170399999999999)</f>
        <v>0.170399999999999</v>
      </c>
      <c r="AY312" s="88">
        <f>IF($Z$3="yes", 0.003839/$X312, 0.003839)</f>
        <v>0.38389999999999996</v>
      </c>
      <c r="AZ312" s="88">
        <f>IF($Z$3="yes", 0.00547257142857142/$X312, 0.00547257142857142)</f>
        <v>0.547257142857142</v>
      </c>
      <c r="BA312" s="88">
        <f>IF($Z$3="yes", 0.00943149999999999/$X312, 0.00943149999999999)</f>
        <v>0.94314999999999904</v>
      </c>
      <c r="BB312" s="88">
        <f>IF($Z$3="yes", 0.002135/$X312, 0.002135)</f>
        <v>0.21350000000000002</v>
      </c>
      <c r="BC312" s="88">
        <f>IF($Z$3="yes", 0.00376857142857142/$X312, 0.00376857142857142)</f>
        <v>0.376857142857142</v>
      </c>
      <c r="BD312" s="88">
        <f>IF($Z$3="yes", 0.0077275/$X312, 0.0077275)</f>
        <v>0.77274999999999994</v>
      </c>
      <c r="BE312" s="88">
        <f>IF($Z$3="yes", 0.00163357142857142/$X312, 0.00163357142857142)</f>
        <v>0.16335714285714201</v>
      </c>
      <c r="BF312" s="88">
        <f>IF($Z$3="yes", 0.00559249999999999/$X312, 0.00559249999999999)</f>
        <v>0.55924999999999903</v>
      </c>
      <c r="BG312" s="88">
        <f>IF($Z$3="yes", 0.00395892857142857/$X312, 0.00395892857142857)</f>
        <v>0.39589285714285699</v>
      </c>
      <c r="BH312" s="88">
        <f>IF($Z$3="yes", 0.00502130272108843/$X312, 0.00502130272108843)</f>
        <v>0.50213027210884298</v>
      </c>
      <c r="BI312" s="68"/>
      <c r="BJ312" s="68"/>
      <c r="BK312" s="68">
        <f>IF($BL$3="yes", MAX(0, (43874541 - 48485422.8) / 17276238.6788255), 48485422.8)</f>
        <v>48485422.799999997</v>
      </c>
      <c r="BL312" s="68">
        <f>IF($BL$3="yes", MAX(0, (43874541 - 71803035.2) / 83542071.1152089), 71803035.2)</f>
        <v>71803035.200000003</v>
      </c>
      <c r="BM312" s="68">
        <f>IF($BL$3="yes", MAX(0, (43874541 - 39637201.3) / 67303149.6257919), 39637201.3)</f>
        <v>39637201.299999997</v>
      </c>
      <c r="BN312" s="68">
        <f>IF($BL$3="yes", MAX(0, (43874541 - 29881867.38) / 48137501.6001537), 29881867.38)</f>
        <v>29881867.379999999</v>
      </c>
      <c r="BO312" s="68">
        <f>IF($BL$3="yes", MAX(0, (43874541 - 20161232.56) / 36312550.0227882), 20161232.56)</f>
        <v>20161232.559999999</v>
      </c>
      <c r="BP312" s="68">
        <f>IF($BL$3="yes", MAX(0, (43874541 - 13093869.02) / 27353126.1520007), 13093869.02)</f>
        <v>13093869.02</v>
      </c>
      <c r="BQ312" s="68">
        <v>58.873642888694533</v>
      </c>
      <c r="BR312" s="68"/>
      <c r="BS312" s="68"/>
      <c r="BT312" s="68">
        <v>834860597.39201009</v>
      </c>
      <c r="BU312" s="68">
        <v>-8232203.3334555626</v>
      </c>
      <c r="BV312" s="68">
        <f>IF($Z$3="yes", 0.0029054084087904/$X312, 0.0029054084087904)</f>
        <v>0.29054084087903997</v>
      </c>
      <c r="BW312" s="68">
        <f>IF($Z$3="yes", 0.000877934759070004/$X312, 0.000877934759070004)</f>
        <v>8.7793475907000401E-2</v>
      </c>
      <c r="BX312" s="68">
        <f>$BW$47 - $BV$47</f>
        <v>2.7538506061780127E-2</v>
      </c>
      <c r="BY312" s="68"/>
      <c r="BZ312" s="68"/>
      <c r="CA312" s="68"/>
      <c r="CB312" s="68"/>
      <c r="CC312" s="68"/>
      <c r="CD312" s="68"/>
      <c r="CE312" s="68"/>
      <c r="CF312" s="68"/>
      <c r="CG312" s="68"/>
      <c r="CH312" s="68"/>
      <c r="CI312" s="68"/>
      <c r="CJ312" s="68"/>
      <c r="CK312" s="68"/>
      <c r="CL312" s="68"/>
      <c r="CM312" s="68"/>
      <c r="CN312" s="68"/>
      <c r="CO312" s="68"/>
      <c r="CP312" s="68"/>
      <c r="CQ312" s="81"/>
      <c r="CR312" s="81"/>
      <c r="CS312" s="68"/>
      <c r="CT312" s="68"/>
      <c r="CU312" s="68"/>
    </row>
    <row r="313" spans="1:99" ht="15.75" customHeight="1" thickBot="1" x14ac:dyDescent="0.3">
      <c r="A313" s="84" t="s">
        <v>690</v>
      </c>
      <c r="B313" s="67" t="s">
        <v>181</v>
      </c>
      <c r="C313" s="83" t="s">
        <v>687</v>
      </c>
      <c r="D313" s="67" t="s">
        <v>691</v>
      </c>
      <c r="E313" s="67">
        <v>1</v>
      </c>
      <c r="F313" s="85">
        <v>3.7000000000000002E-3</v>
      </c>
      <c r="G313" s="313">
        <v>44057</v>
      </c>
      <c r="H313" s="317">
        <v>0.115</v>
      </c>
      <c r="I313" s="85">
        <v>0.65900000000000003</v>
      </c>
      <c r="J313" s="313">
        <v>44249</v>
      </c>
      <c r="K313" s="149">
        <f t="shared" si="10"/>
        <v>30.081081081081081</v>
      </c>
      <c r="L313" s="149">
        <f t="shared" si="11"/>
        <v>177.1081081081081</v>
      </c>
      <c r="M313" s="312">
        <v>44379</v>
      </c>
      <c r="N313" s="68"/>
      <c r="O313" s="68">
        <v>2249350562</v>
      </c>
      <c r="P313" s="68"/>
      <c r="Q313" s="68">
        <v>192</v>
      </c>
      <c r="R313" s="68"/>
      <c r="S313" s="68"/>
      <c r="T313" s="68"/>
      <c r="U313" s="68">
        <v>884</v>
      </c>
      <c r="V313" s="68">
        <v>17544707</v>
      </c>
      <c r="W313" s="68"/>
      <c r="X313" s="68">
        <v>3.7000000000000002E-3</v>
      </c>
      <c r="Y313" s="68">
        <v>3.0380000000000051E-3</v>
      </c>
      <c r="Z313" s="68">
        <v>2.9369999999999969E-3</v>
      </c>
      <c r="AA313" s="68">
        <v>3.8040000000000049E-3</v>
      </c>
      <c r="AB313" s="68">
        <v>3.548000000000006E-3</v>
      </c>
      <c r="AC313" s="68">
        <v>4.1350000000000007E-3</v>
      </c>
      <c r="AD313" s="68">
        <v>4.1000000000000003E-3</v>
      </c>
      <c r="AE313" s="68">
        <v>4.1875000000000002E-3</v>
      </c>
      <c r="AF313" s="68">
        <f>IF($Z$3="yes", -1.38378459461515E-06/$X313, -1.38378459461515E-06)</f>
        <v>-3.7399583638247295E-4</v>
      </c>
      <c r="AG313" s="68">
        <f>IF($Z$3="yes", 0.0000365106510651073/$X313, 0.0000365106510651073)</f>
        <v>9.8677435311100795E-3</v>
      </c>
      <c r="AH313" s="68">
        <f>IF($Z$3="yes", 0.0000470780312124781/$X313, 0.0000470780312124781)</f>
        <v>1.2723792219588676E-2</v>
      </c>
      <c r="AI313" s="68">
        <f>IF($Z$3="yes", 0.0000535606242496933/$X313, 0.0000535606242496933)</f>
        <v>1.4475844391809E-2</v>
      </c>
      <c r="AJ313" s="68">
        <f>IF($Z$3="yes", -6.69172932330896E-06/$X313, -6.69172932330896E-06)</f>
        <v>-1.8085754927862053E-3</v>
      </c>
      <c r="AK313" s="68">
        <f>IF($Z$3="yes", 4.83516483516416E-06/$X313, 4.83516483516416E-06)</f>
        <v>1.3068013068011244E-3</v>
      </c>
      <c r="AL313" s="68">
        <f>IF($Z$3="yes", -0.000117857142857143/$X313, -0.000117857142857143)</f>
        <v>-3.1853281853281894E-2</v>
      </c>
      <c r="AM313" s="68">
        <f>IF($Z$3="yes", 0.000101000000000008/$X313, 0.000101000000000008)</f>
        <v>2.7297297297299458E-2</v>
      </c>
      <c r="AN313" s="68">
        <f>IF($Z$3="yes", 0.000765999999999999/$X313, 0.000765999999999999)</f>
        <v>0.20702702702702674</v>
      </c>
      <c r="AO313" s="68">
        <f>IF($Z$3="yes", 0.00051/$X313, 0.00051)</f>
        <v>0.13783783783783785</v>
      </c>
      <c r="AP313" s="68">
        <f>IF($Z$3="yes", 0.00109699999999999/$X313, 0.00109699999999999)</f>
        <v>0.29648648648648374</v>
      </c>
      <c r="AQ313" s="68">
        <f>IF($Z$3="yes", 0.00106199999999999/$X313, 0.00106199999999999)</f>
        <v>0.28702702702702432</v>
      </c>
      <c r="AR313" s="68">
        <f>IF($Z$3="yes", 0.00114949999999999/$X313, 0.00114949999999999)</f>
        <v>0.31067567567567295</v>
      </c>
      <c r="AS313" s="68">
        <f>IF($Z$3="yes", 0.000867000000000008/$X313, 0.000867000000000008)</f>
        <v>0.23432432432432646</v>
      </c>
      <c r="AT313" s="68">
        <f>IF($Z$3="yes", 0.000611000000000009/$X313, 0.000611000000000009)</f>
        <v>0.16513513513513756</v>
      </c>
      <c r="AU313" s="88">
        <f>IF($Z$3="yes", 0.001198/$X313, 0.001198)</f>
        <v>0.32378378378378381</v>
      </c>
      <c r="AV313" s="88">
        <f>IF($Z$3="yes", 0.001163/$X313, 0.001163)</f>
        <v>0.31432432432432428</v>
      </c>
      <c r="AW313" s="88">
        <f>IF($Z$3="yes", 0.0012505/$X313, 0.0012505)</f>
        <v>0.33797297297297296</v>
      </c>
      <c r="AX313" s="88">
        <f>IF($Z$3="yes", 0.000255999999999998/$X313, 0.000255999999999998)</f>
        <v>6.9189189189188635E-2</v>
      </c>
      <c r="AY313" s="88">
        <f>IF($Z$3="yes", 0.000586999999999994/$X313, 0.000586999999999994)</f>
        <v>0.15864864864864703</v>
      </c>
      <c r="AZ313" s="88">
        <f>IF($Z$3="yes", 0.000551999999999994/$X313, 0.000551999999999994)</f>
        <v>0.14918918918918755</v>
      </c>
      <c r="BA313" s="88">
        <f>IF($Z$3="yes", 0.000639499999999994/$X313, 0.000639499999999994)</f>
        <v>0.17283783783783621</v>
      </c>
      <c r="BB313" s="88">
        <f>IF($Z$3="yes", 0.000330999999999995/$X313, 0.000330999999999995)</f>
        <v>8.9459459459458102E-2</v>
      </c>
      <c r="BC313" s="88">
        <f>IF($Z$3="yes", 0.000295999999999995/$X313, 0.000295999999999995)</f>
        <v>7.9999999999998642E-2</v>
      </c>
      <c r="BD313" s="88">
        <f>IF($Z$3="yes", 0.000383499999999995/$X313, 0.000383499999999995)</f>
        <v>0.1036486486486473</v>
      </c>
      <c r="BE313" s="88">
        <f>IF($Z$3="yes", 0.0000350000000000003/$X313, 0.0000350000000000003)</f>
        <v>9.4594594594595398E-3</v>
      </c>
      <c r="BF313" s="88">
        <f>IF($Z$3="yes", 0.0000524999999999995/$X313, 0.0000524999999999995)</f>
        <v>1.4189189189189053E-2</v>
      </c>
      <c r="BG313" s="88">
        <f>IF($Z$3="yes", 0.0000874999999999999/$X313, 0.0000874999999999999)</f>
        <v>2.3648648648648622E-2</v>
      </c>
      <c r="BH313" s="88">
        <f>IF($Z$3="yes", 0.000972166666666665/$X313, 0.000972166666666665)</f>
        <v>0.26274774774774728</v>
      </c>
      <c r="BI313" s="68"/>
      <c r="BJ313" s="68"/>
      <c r="BK313" s="68">
        <f>IF($BL$3="yes", MAX(0, (17544707 - 21812900.4) / 10031965.5229857), 21812900.4)</f>
        <v>21812900.399999999</v>
      </c>
      <c r="BL313" s="68">
        <f>IF($BL$3="yes", MAX(0, (17544707 - 29187517.4) / 12601168.3543623), 29187517.4)</f>
        <v>29187517.399999999</v>
      </c>
      <c r="BM313" s="68">
        <f>IF($BL$3="yes", MAX(0, (17544707 - 26334924.2) / 12324838.3386005), 26334924.2)</f>
        <v>26334924.199999999</v>
      </c>
      <c r="BN313" s="68">
        <f>IF($BL$3="yes", MAX(0, (17544707 - 22261624.5) / 22760607.317044), 22261624.5)</f>
        <v>22261624.5</v>
      </c>
      <c r="BO313" s="68">
        <f>IF($BL$3="yes", MAX(0, (17544707 - 15044492.31) / 18854806.3313266), 15044492.31)</f>
        <v>15044492.310000001</v>
      </c>
      <c r="BP313" s="68">
        <f>IF($BL$3="yes", MAX(0, (17544707 - 9707554.525) / 14782517.9821342), 9707554.525)</f>
        <v>9707554.5250000004</v>
      </c>
      <c r="BQ313" s="68">
        <v>45.874628729333438</v>
      </c>
      <c r="BR313" s="68"/>
      <c r="BS313" s="68"/>
      <c r="BT313" s="68">
        <v>-148775499.95409891</v>
      </c>
      <c r="BU313" s="68">
        <v>-4654827.4647194454</v>
      </c>
      <c r="BV313" s="68">
        <f>IF($Z$3="yes", 0.00104397719254578/$X313, 0.00104397719254578)</f>
        <v>0.28215599798534596</v>
      </c>
      <c r="BW313" s="68">
        <f>IF($Z$3="yes", 0.00101071331822553/$X313, 0.00101071331822553)</f>
        <v>0.27316576168257567</v>
      </c>
      <c r="BX313" s="68">
        <f>$BW$48 - $BV$48</f>
        <v>0</v>
      </c>
      <c r="BY313" s="68"/>
      <c r="BZ313" s="68"/>
      <c r="CA313" s="68"/>
      <c r="CB313" s="68"/>
      <c r="CC313" s="68"/>
      <c r="CD313" s="68"/>
      <c r="CE313" s="68"/>
      <c r="CF313" s="68"/>
      <c r="CG313" s="68"/>
      <c r="CH313" s="68"/>
      <c r="CI313" s="68"/>
      <c r="CJ313" s="68"/>
      <c r="CK313" s="68"/>
      <c r="CL313" s="68"/>
      <c r="CM313" s="68"/>
      <c r="CN313" s="68"/>
      <c r="CO313" s="68"/>
      <c r="CP313" s="68"/>
      <c r="CQ313" s="81"/>
      <c r="CR313" s="81"/>
      <c r="CS313" s="68"/>
      <c r="CT313" s="68"/>
      <c r="CU313" s="68"/>
    </row>
    <row r="314" spans="1:99" ht="15.75" customHeight="1" thickBot="1" x14ac:dyDescent="0.3">
      <c r="A314" s="84" t="s">
        <v>194</v>
      </c>
      <c r="B314" s="67" t="s">
        <v>181</v>
      </c>
      <c r="C314" s="83" t="s">
        <v>687</v>
      </c>
      <c r="D314" s="67" t="s">
        <v>692</v>
      </c>
      <c r="E314" s="67">
        <v>1</v>
      </c>
      <c r="F314" s="85">
        <v>3.3E-3</v>
      </c>
      <c r="G314" s="313">
        <v>44057</v>
      </c>
      <c r="H314" s="317">
        <v>7.0000000000000001E-3</v>
      </c>
      <c r="I314" s="85">
        <v>3.6999999999999998E-2</v>
      </c>
      <c r="J314" s="313">
        <v>44239</v>
      </c>
      <c r="K314" s="266">
        <f t="shared" si="10"/>
        <v>1.1212121212121211</v>
      </c>
      <c r="L314" s="149">
        <f t="shared" si="11"/>
        <v>10.212121212121211</v>
      </c>
      <c r="M314" s="312">
        <v>44379</v>
      </c>
      <c r="N314" s="68"/>
      <c r="O314" s="68">
        <v>1669663988</v>
      </c>
      <c r="P314" s="68"/>
      <c r="Q314" s="68">
        <v>182</v>
      </c>
      <c r="R314" s="68"/>
      <c r="S314" s="68" t="s">
        <v>148</v>
      </c>
      <c r="T314" s="68"/>
      <c r="U314" s="68">
        <v>348</v>
      </c>
      <c r="V314" s="68">
        <v>47801029</v>
      </c>
      <c r="W314" s="68"/>
      <c r="X314" s="68">
        <v>3.3E-3</v>
      </c>
      <c r="Y314" s="68">
        <v>2.8820000000000048E-3</v>
      </c>
      <c r="Z314" s="68">
        <v>1.8810000000000101E-3</v>
      </c>
      <c r="AA314" s="68">
        <v>2.0539999999999959E-3</v>
      </c>
      <c r="AB314" s="68">
        <v>2.037999999999996E-3</v>
      </c>
      <c r="AC314" s="68">
        <v>2.2899999999999999E-3</v>
      </c>
      <c r="AD314" s="68">
        <v>2.3214285714285711E-3</v>
      </c>
      <c r="AE314" s="68">
        <v>2.6000000000000012E-3</v>
      </c>
      <c r="AF314" s="68">
        <f>IF($Z$3="yes", -0.0000195622890572266/$X314, -0.0000195622890572266)</f>
        <v>-5.9279663809777578E-3</v>
      </c>
      <c r="AG314" s="68">
        <f>IF($Z$3="yes", 8.61986198619692E-06/$X314, 8.61986198619692E-06)</f>
        <v>2.6120793897566425E-3</v>
      </c>
      <c r="AH314" s="68">
        <f>IF($Z$3="yes", 0.0000114813925570358/$X314, 0.0000114813925570358)</f>
        <v>3.479209865768424E-3</v>
      </c>
      <c r="AI314" s="68">
        <f>IF($Z$3="yes", -6.12244897957922E-06/$X314, -6.12244897957922E-06)</f>
        <v>-1.8552875695694606E-3</v>
      </c>
      <c r="AJ314" s="68">
        <f>IF($Z$3="yes", 0.0000375939849624057/$X314, 0.0000375939849624057)</f>
        <v>1.1392116655274455E-2</v>
      </c>
      <c r="AK314" s="68">
        <f>IF($Z$3="yes", 0.0000894505494505504/$X314, 0.0000894505494505504)</f>
        <v>2.7106227106227395E-2</v>
      </c>
      <c r="AL314" s="68">
        <f>IF($Z$3="yes", 0.000130952380952378/$X314, 0.000130952380952378)</f>
        <v>3.9682539682538792E-2</v>
      </c>
      <c r="AM314" s="68">
        <f>IF($Z$3="yes", 0.00100099999999999/$X314, 0.00100099999999999)</f>
        <v>0.30333333333333029</v>
      </c>
      <c r="AN314" s="68">
        <f>IF($Z$3="yes", 0.000828000000000008/$X314, 0.000828000000000008)</f>
        <v>0.2509090909090933</v>
      </c>
      <c r="AO314" s="68">
        <f>IF($Z$3="yes", 0.000844000000000008/$X314, 0.000844000000000008)</f>
        <v>0.25575757575757818</v>
      </c>
      <c r="AP314" s="68">
        <f>IF($Z$3="yes", 0.000592000000000004/$X314, 0.000592000000000004)</f>
        <v>0.1793939393939406</v>
      </c>
      <c r="AQ314" s="68">
        <f>IF($Z$3="yes", 0.000560571428571433/$X314, 0.000560571428571433)</f>
        <v>0.1698701298701312</v>
      </c>
      <c r="AR314" s="68">
        <f>IF($Z$3="yes", 0.000282000000000003/$X314, 0.000282000000000003)</f>
        <v>8.5454545454546366E-2</v>
      </c>
      <c r="AS314" s="68">
        <f>IF($Z$3="yes", 0.000172999999999985/$X314, 0.000172999999999985)</f>
        <v>5.2424242424237877E-2</v>
      </c>
      <c r="AT314" s="68">
        <f>IF($Z$3="yes", 0.000156999999999985/$X314, 0.000156999999999985)</f>
        <v>4.7575757575753032E-2</v>
      </c>
      <c r="AU314" s="88">
        <f>IF($Z$3="yes", 0.000408999999999989/$X314, 0.000408999999999989)</f>
        <v>0.12393939393939062</v>
      </c>
      <c r="AV314" s="88">
        <f>IF($Z$3="yes", 0.000440428571428561/$X314, 0.000440428571428561)</f>
        <v>0.13346320346320031</v>
      </c>
      <c r="AW314" s="88">
        <f>IF($Z$3="yes", 0.000718999999999991/$X314, 0.000718999999999991)</f>
        <v>0.21787878787878515</v>
      </c>
      <c r="AX314" s="88">
        <f>IF($Z$3="yes", 0.0000159999999999999/$X314, 0.0000159999999999999)</f>
        <v>4.8484848484848181E-3</v>
      </c>
      <c r="AY314" s="88">
        <f>IF($Z$3="yes", 0.000252000000000003/$X314, 0.000252000000000003)</f>
        <v>7.6363636363637272E-2</v>
      </c>
      <c r="AZ314" s="88">
        <f>IF($Z$3="yes", 0.000283428571428575/$X314, 0.000283428571428575)</f>
        <v>8.588744588744697E-2</v>
      </c>
      <c r="BA314" s="88">
        <f>IF($Z$3="yes", 0.000562000000000005/$X314, 0.000562000000000005)</f>
        <v>0.17030303030303182</v>
      </c>
      <c r="BB314" s="88">
        <f>IF($Z$3="yes", 0.000236000000000004/$X314, 0.000236000000000004)</f>
        <v>7.1515151515152725E-2</v>
      </c>
      <c r="BC314" s="88">
        <f>IF($Z$3="yes", 0.000267428571428575/$X314, 0.000267428571428575)</f>
        <v>8.1038961038962118E-2</v>
      </c>
      <c r="BD314" s="88">
        <f>IF($Z$3="yes", 0.000546000000000005/$X314, 0.000546000000000005)</f>
        <v>0.16545454545454699</v>
      </c>
      <c r="BE314" s="88">
        <f>IF($Z$3="yes", 0.0000314285714285711/$X314, 0.0000314285714285711)</f>
        <v>9.5238095238094241E-3</v>
      </c>
      <c r="BF314" s="88">
        <f>IF($Z$3="yes", 0.000310000000000001/$X314, 0.000310000000000001)</f>
        <v>9.3939393939394239E-2</v>
      </c>
      <c r="BG314" s="88">
        <f>IF($Z$3="yes", 0.00027857142857143/$X314, 0.00027857142857143)</f>
        <v>8.4415584415584846E-2</v>
      </c>
      <c r="BH314" s="88">
        <f>IF($Z$3="yes", 0.000565775510204081/$X314, 0.000565775510204081)</f>
        <v>0.17144712430426698</v>
      </c>
      <c r="BI314" s="68"/>
      <c r="BJ314" s="68"/>
      <c r="BK314" s="68">
        <f>IF($BL$3="yes", MAX(0, (47801029 - 51263107.8) / 49862675.2597166), 51263107.8)</f>
        <v>51263107.799999997</v>
      </c>
      <c r="BL314" s="68">
        <f>IF($BL$3="yes", MAX(0, (47801029 - 34285441.6) / 40515832.2324133), 34285441.6)</f>
        <v>34285441.600000001</v>
      </c>
      <c r="BM314" s="68">
        <f>IF($BL$3="yes", MAX(0, (47801029 - 27334477.45) / 37681797.8948352), 27334477.45)</f>
        <v>27334477.449999999</v>
      </c>
      <c r="BN314" s="68">
        <f>IF($BL$3="yes", MAX(0, (47801029 - 21322940.5) / 28580129.3582388), 21322940.5)</f>
        <v>21322940.5</v>
      </c>
      <c r="BO314" s="68">
        <f>IF($BL$3="yes", MAX(0, (47801029 - 20390157.09) / 27696111.8634619), 20390157.09)</f>
        <v>20390157.09</v>
      </c>
      <c r="BP314" s="68">
        <f>IF($BL$3="yes", MAX(0, (47801029 - 12553723.385) / 21418299.3342796), 12553723.385)</f>
        <v>12553723.385</v>
      </c>
      <c r="BQ314" s="68">
        <v>62.624482029354184</v>
      </c>
      <c r="BR314" s="68"/>
      <c r="BS314" s="68"/>
      <c r="BT314" s="68">
        <v>-110760401.72568969</v>
      </c>
      <c r="BU314" s="68">
        <v>11902805.96287729</v>
      </c>
      <c r="BV314" s="68">
        <f>IF($Z$3="yes", 0.000610383932136983/$X314, 0.000610383932136983)</f>
        <v>0.18496482792029786</v>
      </c>
      <c r="BW314" s="68">
        <f>IF($Z$3="yes", 0.000525907467179873/$X314, 0.000525907467179873)</f>
        <v>0.15936589914541605</v>
      </c>
      <c r="BX314" s="68">
        <f>$BW$49 - $BV$49</f>
        <v>3.0828059858921092E-2</v>
      </c>
      <c r="BY314" s="68"/>
      <c r="BZ314" s="68"/>
      <c r="CA314" s="68"/>
      <c r="CB314" s="68"/>
      <c r="CC314" s="68"/>
      <c r="CD314" s="68"/>
      <c r="CE314" s="68"/>
      <c r="CF314" s="68"/>
      <c r="CG314" s="68"/>
      <c r="CH314" s="68"/>
      <c r="CI314" s="68"/>
      <c r="CJ314" s="68"/>
      <c r="CK314" s="68"/>
      <c r="CL314" s="68"/>
      <c r="CM314" s="68"/>
      <c r="CN314" s="68"/>
      <c r="CO314" s="68"/>
      <c r="CP314" s="68"/>
      <c r="CQ314" s="81"/>
      <c r="CR314" s="81"/>
      <c r="CS314" s="68"/>
      <c r="CT314" s="68"/>
      <c r="CU314" s="68"/>
    </row>
    <row r="315" spans="1:99" ht="15.75" customHeight="1" thickBot="1" x14ac:dyDescent="0.3">
      <c r="A315" s="84"/>
      <c r="B315" s="67" t="s">
        <v>181</v>
      </c>
      <c r="C315" s="83" t="s">
        <v>687</v>
      </c>
      <c r="D315" s="67" t="s">
        <v>693</v>
      </c>
      <c r="E315" s="67">
        <v>1</v>
      </c>
      <c r="F315" s="85">
        <v>8.5999999999999993E-2</v>
      </c>
      <c r="G315" s="313">
        <v>44057</v>
      </c>
      <c r="H315" s="317">
        <v>1.7100000000000001E-2</v>
      </c>
      <c r="I315" s="85">
        <v>0.115</v>
      </c>
      <c r="J315" s="313">
        <v>44068</v>
      </c>
      <c r="K315" s="125">
        <f t="shared" si="10"/>
        <v>-0.80116279069767438</v>
      </c>
      <c r="L315" s="131">
        <f t="shared" si="11"/>
        <v>0.33720930232558155</v>
      </c>
      <c r="M315" s="312">
        <v>44379</v>
      </c>
      <c r="N315" s="68"/>
      <c r="O315" s="68">
        <v>389422859</v>
      </c>
      <c r="P315" s="68"/>
      <c r="Q315" s="68">
        <v>11</v>
      </c>
      <c r="R315" s="68"/>
      <c r="S315" s="68" t="s">
        <v>135</v>
      </c>
      <c r="T315" s="68"/>
      <c r="U315" s="68">
        <v>1604</v>
      </c>
      <c r="V315" s="68">
        <v>1909410</v>
      </c>
      <c r="W315" s="68"/>
      <c r="X315" s="68">
        <v>8.8400000000000006E-2</v>
      </c>
      <c r="Y315" s="68">
        <v>1.392549999999999E-2</v>
      </c>
      <c r="Z315" s="68">
        <v>1.9154999999999991E-2</v>
      </c>
      <c r="AA315" s="68">
        <v>3.0532E-2</v>
      </c>
      <c r="AB315" s="68">
        <v>1.5604E-2</v>
      </c>
      <c r="AC315" s="68">
        <v>6.0910000000000013E-2</v>
      </c>
      <c r="AD315" s="68">
        <v>7.0735714285714277E-2</v>
      </c>
      <c r="AE315" s="68">
        <v>9.4724999999999962E-2</v>
      </c>
      <c r="AF315" s="68">
        <f>IF($Z$3="yes", 0.000150896647416186/$X315, 0.000150896647416186)</f>
        <v>1.7069756495043664E-3</v>
      </c>
      <c r="AG315" s="68">
        <f>IF($Z$3="yes", 0.000568666666666668/$X315, 0.000568666666666668)</f>
        <v>6.4328808446455646E-3</v>
      </c>
      <c r="AH315" s="68">
        <f>IF($Z$3="yes", 0.00174747659063626/$X315, 0.00174747659063626)</f>
        <v>1.9767834735704298E-2</v>
      </c>
      <c r="AI315" s="68">
        <f>IF($Z$3="yes", 0.000544672268907571/$X315, 0.000544672268907571)</f>
        <v>6.1614510057417526E-3</v>
      </c>
      <c r="AJ315" s="68">
        <f>IF($Z$3="yes", 0.00428255639097744/$X315, 0.00428255639097744)</f>
        <v>4.8445208042731225E-2</v>
      </c>
      <c r="AK315" s="68">
        <f>IF($Z$3="yes", 0.00631054945054947/$X315, 0.00631054945054947)</f>
        <v>7.1386306001690825E-2</v>
      </c>
      <c r="AL315" s="68">
        <f>IF($Z$3="yes", 0.00104761904761913/$X315, 0.00104761904761913)</f>
        <v>1.1850894203836311E-2</v>
      </c>
      <c r="AM315" s="68">
        <f>IF($Z$3="yes", 0.0052295/$X315, 0.0052295)</f>
        <v>5.9157239819004517E-2</v>
      </c>
      <c r="AN315" s="68">
        <f>IF($Z$3="yes", 0.0166065/$X315, 0.0166065)</f>
        <v>0.18785633484162895</v>
      </c>
      <c r="AO315" s="68">
        <f>IF($Z$3="yes", 0.0016785/$X315, 0.0016785)</f>
        <v>1.8987556561085972E-2</v>
      </c>
      <c r="AP315" s="68">
        <f>IF($Z$3="yes", 0.0469845/$X315, 0.0469845)</f>
        <v>0.53149886877828045</v>
      </c>
      <c r="AQ315" s="68">
        <f>IF($Z$3="yes", 0.0568102142857142/$X315, 0.0568102142857142)</f>
        <v>0.64264948287007007</v>
      </c>
      <c r="AR315" s="68">
        <f>IF($Z$3="yes", 0.0807994999999999/$X315, 0.0807994999999999)</f>
        <v>0.91402149321266846</v>
      </c>
      <c r="AS315" s="68">
        <f>IF($Z$3="yes", 0.011377/$X315, 0.011377)</f>
        <v>0.12869909502262442</v>
      </c>
      <c r="AT315" s="68">
        <f>IF($Z$3="yes", 0.00355099999999999/$X315, 0.00355099999999999)</f>
        <v>4.0169683257918434E-2</v>
      </c>
      <c r="AU315" s="88">
        <f>IF($Z$3="yes", 0.041755/$X315, 0.041755)</f>
        <v>0.47234162895927601</v>
      </c>
      <c r="AV315" s="88">
        <f>IF($Z$3="yes", 0.0515807142857142/$X315, 0.0515807142857142)</f>
        <v>0.58349224305106562</v>
      </c>
      <c r="AW315" s="88">
        <f>IF($Z$3="yes", 0.0755699999999999/$X315, 0.0755699999999999)</f>
        <v>0.85486425339366401</v>
      </c>
      <c r="AX315" s="88">
        <f>IF($Z$3="yes", 0.014928/$X315, 0.014928)</f>
        <v>0.16886877828054297</v>
      </c>
      <c r="AY315" s="88">
        <f>IF($Z$3="yes", 0.045306/$X315, 0.045306)</f>
        <v>0.51251131221719448</v>
      </c>
      <c r="AZ315" s="88">
        <f>IF($Z$3="yes", 0.0551317142857142/$X315, 0.0551317142857142)</f>
        <v>0.62366192630898409</v>
      </c>
      <c r="BA315" s="88">
        <f>IF($Z$3="yes", 0.0791209999999999/$X315, 0.0791209999999999)</f>
        <v>0.89503393665158248</v>
      </c>
      <c r="BB315" s="88">
        <f>IF($Z$3="yes", 0.030378/$X315, 0.030378)</f>
        <v>0.34364253393665156</v>
      </c>
      <c r="BC315" s="88">
        <f>IF($Z$3="yes", 0.0402037142857142/$X315, 0.0402037142857142)</f>
        <v>0.45479314802844112</v>
      </c>
      <c r="BD315" s="88">
        <f>IF($Z$3="yes", 0.0641929999999999/$X315, 0.0641929999999999)</f>
        <v>0.72616515837103957</v>
      </c>
      <c r="BE315" s="88">
        <f>IF($Z$3="yes", 0.00982571428571426/$X315, 0.00982571428571426)</f>
        <v>0.11115061409179026</v>
      </c>
      <c r="BF315" s="88">
        <f>IF($Z$3="yes", 0.0338149999999999/$X315, 0.0338149999999999)</f>
        <v>0.382522624434388</v>
      </c>
      <c r="BG315" s="88">
        <f>IF($Z$3="yes", 0.0239892857142856/$X315, 0.0239892857142856)</f>
        <v>0.27137201034259723</v>
      </c>
      <c r="BH315" s="88">
        <f>IF($Z$3="yes", 0.0444027891156462/$X315, 0.0444027891156462)</f>
        <v>0.50229399452088452</v>
      </c>
      <c r="BI315" s="68"/>
      <c r="BJ315" s="68"/>
      <c r="BK315" s="68">
        <f>IF($BL$3="yes", MAX(0, (1909410 - 2988718.6) / 1583407.60557319), 2988718.6)</f>
        <v>2988718.6</v>
      </c>
      <c r="BL315" s="68">
        <f>IF($BL$3="yes", MAX(0, (1909410 - 3827900.6) / 2603329.21258957), 3827900.6)</f>
        <v>3827900.6</v>
      </c>
      <c r="BM315" s="68">
        <f>IF($BL$3="yes", MAX(0, (1909410 - 3019389.3) / 2559742.55013517), 3019389.3)</f>
        <v>3019389.3</v>
      </c>
      <c r="BN315" s="68">
        <f>IF($BL$3="yes", MAX(0, (1909410 - 1535510.92) / 2313303.13849559), 1535510.92)</f>
        <v>1535510.92</v>
      </c>
      <c r="BO315" s="68">
        <f>IF($BL$3="yes", MAX(0, (1909410 - 835140.83) / 1786592.37619612), 835140.83)</f>
        <v>835140.83</v>
      </c>
      <c r="BP315" s="68">
        <f>IF($BL$3="yes", MAX(0, (1909410 - 513182.765) / 1316548.5418632), 513182.765)</f>
        <v>513182.76500000001</v>
      </c>
      <c r="BQ315" s="68">
        <v>62.561358594570613</v>
      </c>
      <c r="BR315" s="68"/>
      <c r="BS315" s="68"/>
      <c r="BT315" s="68">
        <v>6648346.2096843198</v>
      </c>
      <c r="BU315" s="68">
        <v>-1322615.6339923081</v>
      </c>
      <c r="BV315" s="68">
        <f>IF($Z$3="yes", 0.0220183822525698/$X315, 0.0220183822525698)</f>
        <v>0.24907672231413799</v>
      </c>
      <c r="BW315" s="68">
        <f>IF($Z$3="yes", 0.00601536586889459/$X315, 0.00601536586889459)</f>
        <v>6.8047125213739706E-2</v>
      </c>
      <c r="BX315" s="68">
        <f>$BW$50 - $BV$50</f>
        <v>0.20700149933748413</v>
      </c>
      <c r="BY315" s="68"/>
      <c r="BZ315" s="68"/>
      <c r="CA315" s="68"/>
      <c r="CB315" s="68"/>
      <c r="CC315" s="68"/>
      <c r="CD315" s="68"/>
      <c r="CE315" s="68"/>
      <c r="CF315" s="68"/>
      <c r="CG315" s="68"/>
      <c r="CH315" s="68"/>
      <c r="CI315" s="68"/>
      <c r="CJ315" s="68"/>
      <c r="CK315" s="68"/>
      <c r="CL315" s="68"/>
      <c r="CM315" s="68"/>
      <c r="CN315" s="68"/>
      <c r="CO315" s="68"/>
      <c r="CP315" s="68"/>
      <c r="CQ315" s="81"/>
      <c r="CR315" s="81"/>
      <c r="CS315" s="68"/>
      <c r="CT315" s="68"/>
      <c r="CU315" s="68"/>
    </row>
    <row r="316" spans="1:99" ht="15.75" customHeight="1" thickBot="1" x14ac:dyDescent="0.3">
      <c r="A316" s="267"/>
      <c r="B316" s="268" t="s">
        <v>181</v>
      </c>
      <c r="C316" s="269" t="s">
        <v>687</v>
      </c>
      <c r="D316" s="268" t="s">
        <v>694</v>
      </c>
      <c r="E316" s="268">
        <v>1</v>
      </c>
      <c r="F316" s="270">
        <v>8.9899999999999994E-2</v>
      </c>
      <c r="G316" s="271">
        <v>44057</v>
      </c>
      <c r="H316" s="301">
        <v>5.2900000000000003E-2</v>
      </c>
      <c r="I316" s="270">
        <v>0.44</v>
      </c>
      <c r="J316" s="271">
        <v>44238</v>
      </c>
      <c r="K316" s="272">
        <f t="shared" si="10"/>
        <v>-0.41156840934371519</v>
      </c>
      <c r="L316" s="273">
        <f t="shared" si="11"/>
        <v>3.894327030033371</v>
      </c>
      <c r="M316" s="302">
        <v>44379</v>
      </c>
      <c r="N316" s="274"/>
      <c r="O316" s="274">
        <v>1963573633</v>
      </c>
      <c r="P316" s="274"/>
      <c r="Q316" s="274">
        <v>181</v>
      </c>
      <c r="R316" s="274"/>
      <c r="S316" s="274" t="s">
        <v>148</v>
      </c>
      <c r="T316" s="274"/>
      <c r="U316" s="274">
        <v>2004</v>
      </c>
      <c r="V316" s="274">
        <v>39805271</v>
      </c>
      <c r="W316" s="274"/>
      <c r="X316" s="274">
        <v>8.9899999999999994E-2</v>
      </c>
      <c r="Y316" s="274">
        <v>1.176100000000003E-2</v>
      </c>
      <c r="Z316" s="274">
        <v>2.1220000000000041E-2</v>
      </c>
      <c r="AA316" s="274">
        <v>4.1272000000000038E-2</v>
      </c>
      <c r="AB316" s="274">
        <v>2.0392000000000049E-2</v>
      </c>
      <c r="AC316" s="274">
        <v>6.8790000000000018E-2</v>
      </c>
      <c r="AD316" s="274">
        <v>8.7571428571428564E-2</v>
      </c>
      <c r="AE316" s="274">
        <v>0.1130375</v>
      </c>
      <c r="AF316" s="274">
        <f>IF($Z$3="yes", 0.000245850446261155/$X316, 0.000245850446261155)</f>
        <v>2.7347101920039492E-3</v>
      </c>
      <c r="AG316" s="274">
        <f>IF($Z$3="yes", 0.000855871587158703/$X316, 0.000855871587158703)</f>
        <v>9.5202623710645504E-3</v>
      </c>
      <c r="AH316" s="274">
        <f>IF($Z$3="yes", 0.00201827611044413/$X316, 0.00201827611044413)</f>
        <v>2.2450234821403004E-2</v>
      </c>
      <c r="AI316" s="274">
        <f>IF($Z$3="yes", 0.000914660264105604/$X316, 0.000914660264105604)</f>
        <v>1.0174196486157999E-2</v>
      </c>
      <c r="AJ316" s="274">
        <f>IF($Z$3="yes", 0.00571894736842104/$X316, 0.00571894736842104)</f>
        <v>6.3614542474093885E-2</v>
      </c>
      <c r="AK316" s="274">
        <f>IF($Z$3="yes", 0.00532351648351648/$X316, 0.00532351648351648)</f>
        <v>5.9215978682052063E-2</v>
      </c>
      <c r="AL316" s="274">
        <f>IF($Z$3="yes", -0.00911547619047619/$X316, -0.00911547619047619)</f>
        <v>-0.10139573070607553</v>
      </c>
      <c r="AM316" s="274">
        <f>IF($Z$3="yes", 0.00945900000000001/$X316, 0.00945900000000001)</f>
        <v>0.10521690767519479</v>
      </c>
      <c r="AN316" s="274">
        <f>IF($Z$3="yes", 0.029511/$X316, 0.029511)</f>
        <v>0.32826473859844274</v>
      </c>
      <c r="AO316" s="274">
        <f>IF($Z$3="yes", 0.00863100000000001/$X316, 0.00863100000000001)</f>
        <v>9.6006674082313809E-2</v>
      </c>
      <c r="AP316" s="274">
        <f>IF($Z$3="yes", 0.0570289999999999/$X316, 0.0570289999999999)</f>
        <v>0.63436040044493769</v>
      </c>
      <c r="AQ316" s="274">
        <f>IF($Z$3="yes", 0.0758104285714285/$X316, 0.0758104285714285)</f>
        <v>0.84327506753535597</v>
      </c>
      <c r="AR316" s="274">
        <f>IF($Z$3="yes", 0.101276499999999/$X316, 0.101276499999999)</f>
        <v>1.1265461624026587</v>
      </c>
      <c r="AS316" s="274">
        <f>IF($Z$3="yes", 0.020052/$X316, 0.020052)</f>
        <v>0.22304783092324806</v>
      </c>
      <c r="AT316" s="274">
        <f>IF($Z$3="yes", 0.000827999999999998/$X316, 0.000827999999999998)</f>
        <v>9.2102335928809578E-3</v>
      </c>
      <c r="AU316" s="275">
        <f>IF($Z$3="yes", 0.0475699999999999/$X316, 0.0475699999999999)</f>
        <v>0.52914349276974304</v>
      </c>
      <c r="AV316" s="275">
        <f>IF($Z$3="yes", 0.0663514285714285/$X316, 0.0663514285714285)</f>
        <v>0.73805815986016143</v>
      </c>
      <c r="AW316" s="275">
        <f>IF($Z$3="yes", 0.0918174999999999/$X316, 0.0918174999999999)</f>
        <v>1.0213292547274739</v>
      </c>
      <c r="AX316" s="275">
        <f>IF($Z$3="yes", 0.02088/$X316, 0.02088)</f>
        <v>0.23225806451612904</v>
      </c>
      <c r="AY316" s="275">
        <f>IF($Z$3="yes", 0.0483979999999999/$X316, 0.0483979999999999)</f>
        <v>0.53835372636262402</v>
      </c>
      <c r="AZ316" s="275">
        <f>IF($Z$3="yes", 0.0671794285714285/$X316, 0.0671794285714285)</f>
        <v>0.7472683934530423</v>
      </c>
      <c r="BA316" s="275">
        <f>IF($Z$3="yes", 0.0926454999999999/$X316, 0.0926454999999999)</f>
        <v>1.0305394883203549</v>
      </c>
      <c r="BB316" s="275">
        <f>IF($Z$3="yes", 0.0275179999999999/$X316, 0.0275179999999999)</f>
        <v>0.306095661846495</v>
      </c>
      <c r="BC316" s="275">
        <f>IF($Z$3="yes", 0.0462994285714285/$X316, 0.0462994285714285)</f>
        <v>0.51501032893691323</v>
      </c>
      <c r="BD316" s="275">
        <f>IF($Z$3="yes", 0.0717654999999999/$X316, 0.0717654999999999)</f>
        <v>0.79828142380422584</v>
      </c>
      <c r="BE316" s="275">
        <f>IF($Z$3="yes", 0.0187814285714285/$X316, 0.0187814285714285)</f>
        <v>0.20891466709041714</v>
      </c>
      <c r="BF316" s="275">
        <f>IF($Z$3="yes", 0.0442474999999999/$X316, 0.0442474999999999)</f>
        <v>0.49218576195772973</v>
      </c>
      <c r="BG316" s="275">
        <f>IF($Z$3="yes", 0.0254660714285714/$X316, 0.0254660714285714)</f>
        <v>0.28327109486731261</v>
      </c>
      <c r="BH316" s="275">
        <f>IF($Z$3="yes", 0.0539597925170067/$X316, 0.0539597925170067)</f>
        <v>0.60022016147949619</v>
      </c>
      <c r="BI316" s="274"/>
      <c r="BJ316" s="274"/>
      <c r="BK316" s="274">
        <f>IF($BL$3="yes", MAX(0, (39805271 - 55641780.4) / 12090569.6960083), 55641780.4)</f>
        <v>55641780.399999999</v>
      </c>
      <c r="BL316" s="274">
        <f>IF($BL$3="yes", MAX(0, (39805271 - 114124417.2) / 64239233.1538946), 114124417.2)</f>
        <v>114124417.2</v>
      </c>
      <c r="BM316" s="274">
        <f>IF($BL$3="yes", MAX(0, (39805271 - 87476887.85) / 63581099.5672481), 87476887.85)</f>
        <v>87476887.849999994</v>
      </c>
      <c r="BN316" s="274">
        <f>IF($BL$3="yes", MAX(0, (39805271 - 87368740.7) / 65352748.8330222), 87368740.7)</f>
        <v>87368740.700000003</v>
      </c>
      <c r="BO316" s="274">
        <f>IF($BL$3="yes", MAX(0, (39805271 - 66335006.25) / 88922668.8632177), 66335006.25)</f>
        <v>66335006.25</v>
      </c>
      <c r="BP316" s="274">
        <f>IF($BL$3="yes", MAX(0, (39805271 - 52516316.62) / 72145432.2707657), 52516316.62)</f>
        <v>52516316.619999997</v>
      </c>
      <c r="BQ316" s="274">
        <v>57.964492993575391</v>
      </c>
      <c r="BR316" s="274"/>
      <c r="BS316" s="274"/>
      <c r="BT316" s="274">
        <v>1407802325.554914</v>
      </c>
      <c r="BU316" s="274">
        <v>-4951491.0620012283</v>
      </c>
      <c r="BV316" s="274">
        <f>IF($Z$3="yes", 0.0253721075069886/$X316, 0.0253721075069886)</f>
        <v>0.28222588995537934</v>
      </c>
      <c r="BW316" s="274">
        <f>IF($Z$3="yes", 0.00847338819231537/$X316, 0.00847338819231537)</f>
        <v>9.4253483785487993E-2</v>
      </c>
      <c r="BX316" s="274">
        <f>$BW$51 - $BV$51</f>
        <v>-5.7147682618232665E-3</v>
      </c>
      <c r="BY316" s="274"/>
      <c r="BZ316" s="274"/>
      <c r="CA316" s="274"/>
      <c r="CB316" s="274"/>
      <c r="CC316" s="274"/>
      <c r="CD316" s="274"/>
      <c r="CE316" s="274"/>
      <c r="CF316" s="274"/>
      <c r="CG316" s="274"/>
      <c r="CH316" s="274"/>
      <c r="CI316" s="274"/>
      <c r="CJ316" s="274"/>
      <c r="CK316" s="274"/>
      <c r="CL316" s="274"/>
      <c r="CM316" s="274"/>
      <c r="CN316" s="274"/>
      <c r="CO316" s="274"/>
      <c r="CP316" s="274"/>
      <c r="CQ316" s="70"/>
      <c r="CR316" s="70"/>
      <c r="CS316" s="68"/>
      <c r="CT316" s="68"/>
      <c r="CU316" s="68"/>
    </row>
    <row r="317" spans="1:99" ht="15.75" customHeight="1" thickBot="1" x14ac:dyDescent="0.3">
      <c r="A317" s="267"/>
      <c r="B317" s="268" t="s">
        <v>181</v>
      </c>
      <c r="C317" s="295" t="s">
        <v>687</v>
      </c>
      <c r="D317" s="268" t="s">
        <v>695</v>
      </c>
      <c r="E317" s="268">
        <v>1</v>
      </c>
      <c r="F317" s="270">
        <v>6.8199999999999997E-2</v>
      </c>
      <c r="G317" s="271">
        <v>44057</v>
      </c>
      <c r="H317" s="301">
        <v>1.4999999999999999E-2</v>
      </c>
      <c r="I317" s="270">
        <v>0.1</v>
      </c>
      <c r="J317" s="271">
        <v>44235</v>
      </c>
      <c r="K317" s="272">
        <f t="shared" si="10"/>
        <v>-0.78005865102639294</v>
      </c>
      <c r="L317" s="276">
        <f t="shared" si="11"/>
        <v>0.46627565982404717</v>
      </c>
      <c r="M317" s="302">
        <v>44379</v>
      </c>
      <c r="N317" s="274"/>
      <c r="O317" s="274">
        <v>879029038</v>
      </c>
      <c r="P317" s="274"/>
      <c r="Q317" s="274">
        <v>178</v>
      </c>
      <c r="R317" s="274"/>
      <c r="S317" s="274" t="s">
        <v>135</v>
      </c>
      <c r="T317" s="274"/>
      <c r="U317" s="274">
        <v>2004</v>
      </c>
      <c r="V317" s="274">
        <v>144452193</v>
      </c>
      <c r="W317" s="274"/>
      <c r="X317" s="274">
        <v>7.9399999999999998E-2</v>
      </c>
      <c r="Y317" s="274">
        <v>1.4985999999999991E-2</v>
      </c>
      <c r="Z317" s="274">
        <v>2.186599999999999E-2</v>
      </c>
      <c r="AA317" s="274">
        <v>3.9009999999999982E-2</v>
      </c>
      <c r="AB317" s="274">
        <v>2.8587999999999988E-2</v>
      </c>
      <c r="AC317" s="274">
        <v>5.0430000000000023E-2</v>
      </c>
      <c r="AD317" s="274">
        <v>5.6342857142857153E-2</v>
      </c>
      <c r="AE317" s="274">
        <v>6.7112500000000019E-2</v>
      </c>
      <c r="AF317" s="274">
        <f>IF($Z$3="yes", 0.00015899182479562/$X317, 0.00015899182479562)</f>
        <v>2.0024159294158689E-3</v>
      </c>
      <c r="AG317" s="274">
        <f>IF($Z$3="yes", 0.000664031203120313/$X317, 0.000664031203120313)</f>
        <v>8.3631133894245969E-3</v>
      </c>
      <c r="AH317" s="274">
        <f>IF($Z$3="yes", 0.00101735894357746/$X317, 0.00101735894357746)</f>
        <v>1.2813084931706045E-2</v>
      </c>
      <c r="AI317" s="274">
        <f>IF($Z$3="yes", 0.000869118847539043/$X317, 0.000869118847539043)</f>
        <v>1.0946081203262506E-2</v>
      </c>
      <c r="AJ317" s="274">
        <f>IF($Z$3="yes", 0.00214315789473683/$X317, 0.00214315789473683)</f>
        <v>2.6991913031950001E-2</v>
      </c>
      <c r="AK317" s="274">
        <f>IF($Z$3="yes", 0.00251999999999998/$X317, 0.00251999999999998)</f>
        <v>3.1738035264483377E-2</v>
      </c>
      <c r="AL317" s="274">
        <f>IF($Z$3="yes", -0.00175119047619044/$X317, -0.00175119047619044)</f>
        <v>-2.2055295669904787E-2</v>
      </c>
      <c r="AM317" s="274">
        <f>IF($Z$3="yes", 0.00688/$X317, 0.00688)</f>
        <v>8.6649874055415618E-2</v>
      </c>
      <c r="AN317" s="274">
        <f>IF($Z$3="yes", 0.0240239999999999/$X317, 0.0240239999999999)</f>
        <v>0.30256926952140933</v>
      </c>
      <c r="AO317" s="274">
        <f>IF($Z$3="yes", 0.0136019999999999/$X317, 0.0136019999999999)</f>
        <v>0.1713098236775806</v>
      </c>
      <c r="AP317" s="274">
        <f>IF($Z$3="yes", 0.035444/$X317, 0.035444)</f>
        <v>0.44639798488664995</v>
      </c>
      <c r="AQ317" s="274">
        <f>IF($Z$3="yes", 0.0413568571428571/$X317, 0.0413568571428571)</f>
        <v>0.52086721842389294</v>
      </c>
      <c r="AR317" s="274">
        <f>IF($Z$3="yes", 0.0521265/$X317, 0.0521265)</f>
        <v>0.65650503778337532</v>
      </c>
      <c r="AS317" s="274">
        <f>IF($Z$3="yes", 0.0171439999999999/$X317, 0.0171439999999999)</f>
        <v>0.2159193954659937</v>
      </c>
      <c r="AT317" s="274">
        <f>IF($Z$3="yes", 0.00672199999999999/$X317, 0.00672199999999999)</f>
        <v>8.4659949622166122E-2</v>
      </c>
      <c r="AU317" s="275">
        <f>IF($Z$3="yes", 0.028564/$X317, 0.028564)</f>
        <v>0.35974811083123426</v>
      </c>
      <c r="AV317" s="275">
        <f>IF($Z$3="yes", 0.0344768571428571/$X317, 0.0344768571428571)</f>
        <v>0.43421734436847736</v>
      </c>
      <c r="AW317" s="275">
        <f>IF($Z$3="yes", 0.0452465/$X317, 0.0452465)</f>
        <v>0.56985516372795975</v>
      </c>
      <c r="AX317" s="275">
        <f>IF($Z$3="yes", 0.0104219999999999/$X317, 0.0104219999999999)</f>
        <v>0.13125944584382745</v>
      </c>
      <c r="AY317" s="275">
        <f>IF($Z$3="yes", 0.021842/$X317, 0.021842)</f>
        <v>0.27508816120906804</v>
      </c>
      <c r="AZ317" s="275">
        <f>IF($Z$3="yes", 0.0277548571428571/$X317, 0.0277548571428571)</f>
        <v>0.34955739474631109</v>
      </c>
      <c r="BA317" s="275">
        <f>IF($Z$3="yes", 0.0385245/$X317, 0.0385245)</f>
        <v>0.48519521410579353</v>
      </c>
      <c r="BB317" s="275">
        <f>IF($Z$3="yes", 0.01142/$X317, 0.01142)</f>
        <v>0.14382871536523928</v>
      </c>
      <c r="BC317" s="275">
        <f>IF($Z$3="yes", 0.0173328571428571/$X317, 0.0173328571428571)</f>
        <v>0.21829794890248239</v>
      </c>
      <c r="BD317" s="275">
        <f>IF($Z$3="yes", 0.0281025/$X317, 0.0281025)</f>
        <v>0.35393576826196471</v>
      </c>
      <c r="BE317" s="275">
        <f>IF($Z$3="yes", 0.00591285714285712/$X317, 0.00591285714285712)</f>
        <v>7.4469233537243329E-2</v>
      </c>
      <c r="BF317" s="275">
        <f>IF($Z$3="yes", 0.0166824999999999/$X317, 0.0166824999999999)</f>
        <v>0.21010705289672418</v>
      </c>
      <c r="BG317" s="275">
        <f>IF($Z$3="yes", 0.0107696428571428/$X317, 0.0107696428571428)</f>
        <v>0.13563781935948113</v>
      </c>
      <c r="BH317" s="275">
        <f>IF($Z$3="yes", 0.0279477040816326/$X317, 0.0279477040816326)</f>
        <v>0.35198619750167004</v>
      </c>
      <c r="BI317" s="274"/>
      <c r="BJ317" s="274"/>
      <c r="BK317" s="274">
        <f>IF($BL$3="yes", MAX(0, (144452193 - 47935482.8) / 48987166.287226), 47935482.8)</f>
        <v>47935482.799999997</v>
      </c>
      <c r="BL317" s="274">
        <f>IF($BL$3="yes", MAX(0, (144452193 - 44565247.6) / 39701620.7423139), 44565247.6)</f>
        <v>44565247.600000001</v>
      </c>
      <c r="BM317" s="274">
        <f>IF($BL$3="yes", MAX(0, (144452193 - 39141552.65) / 36666722.3527031), 39141552.65)</f>
        <v>39141552.649999999</v>
      </c>
      <c r="BN317" s="274">
        <f>IF($BL$3="yes", MAX(0, (144452193 - 46178540.14) / 33028550.351882), 46178540.14)</f>
        <v>46178540.140000001</v>
      </c>
      <c r="BO317" s="274">
        <f>IF($BL$3="yes", MAX(0, (144452193 - 63209820.73) / 59198428.1158779), 63209820.73)</f>
        <v>63209820.729999997</v>
      </c>
      <c r="BP317" s="274">
        <f>IF($BL$3="yes", MAX(0, (144452193 - 43564540.21) / 52567401.2058247), 43564540.21)</f>
        <v>43564540.210000001</v>
      </c>
      <c r="BQ317" s="274">
        <v>64.48374842677282</v>
      </c>
      <c r="BR317" s="274"/>
      <c r="BS317" s="274"/>
      <c r="BT317" s="274">
        <v>-279824635.63761759</v>
      </c>
      <c r="BU317" s="274">
        <v>33194643.81222713</v>
      </c>
      <c r="BV317" s="274">
        <f>IF($Z$3="yes", 0.0138815994639676/$X317, 0.0138815994639676)</f>
        <v>0.17483122750588917</v>
      </c>
      <c r="BW317" s="274">
        <f>IF($Z$3="yes", 0.00872462969750726/$X317, 0.00872462969750726)</f>
        <v>0.109881986114701</v>
      </c>
      <c r="BX317" s="274">
        <f>$BW$52 - $BV$52</f>
        <v>-5.8882505770456242E-2</v>
      </c>
      <c r="BY317" s="274"/>
      <c r="BZ317" s="274"/>
      <c r="CA317" s="274"/>
      <c r="CB317" s="274"/>
      <c r="CC317" s="274"/>
      <c r="CD317" s="274"/>
      <c r="CE317" s="274"/>
      <c r="CF317" s="274"/>
      <c r="CG317" s="274"/>
      <c r="CH317" s="274"/>
      <c r="CI317" s="274"/>
      <c r="CJ317" s="274"/>
      <c r="CK317" s="274"/>
      <c r="CL317" s="274"/>
      <c r="CM317" s="274"/>
      <c r="CN317" s="274"/>
      <c r="CO317" s="274"/>
      <c r="CP317" s="274"/>
      <c r="CQ317" s="70"/>
      <c r="CR317" s="70"/>
      <c r="CS317" s="68"/>
      <c r="CT317" s="68"/>
      <c r="CU317" s="68"/>
    </row>
    <row r="318" spans="1:99" x14ac:dyDescent="0.25">
      <c r="A318" s="277" t="s">
        <v>696</v>
      </c>
      <c r="B318" s="278" t="s">
        <v>181</v>
      </c>
      <c r="C318" s="295" t="s">
        <v>697</v>
      </c>
      <c r="D318" s="278" t="s">
        <v>698</v>
      </c>
      <c r="E318" s="268">
        <v>1</v>
      </c>
      <c r="F318" s="279">
        <v>1.6999999999999999E-3</v>
      </c>
      <c r="G318" s="280">
        <v>44042</v>
      </c>
      <c r="H318" s="301">
        <v>5.4000000000000003E-3</v>
      </c>
      <c r="I318" s="270">
        <v>0.31900000000000001</v>
      </c>
      <c r="J318" s="271">
        <v>44215</v>
      </c>
      <c r="K318" s="273">
        <f t="shared" si="10"/>
        <v>2.1764705882352944</v>
      </c>
      <c r="L318" s="273">
        <f t="shared" si="11"/>
        <v>186.64705882352942</v>
      </c>
      <c r="M318" s="302">
        <v>44379</v>
      </c>
      <c r="N318" s="274"/>
      <c r="O318" s="274">
        <v>434226791</v>
      </c>
      <c r="P318" s="274"/>
      <c r="Q318" s="274">
        <v>173</v>
      </c>
      <c r="R318" s="274"/>
      <c r="S318" s="274" t="s">
        <v>148</v>
      </c>
      <c r="T318" s="274"/>
      <c r="U318" s="274">
        <v>12</v>
      </c>
      <c r="V318" s="274">
        <v>217849213</v>
      </c>
      <c r="W318" s="274"/>
      <c r="X318" s="274">
        <v>2.0999999999999999E-3</v>
      </c>
      <c r="Y318" s="274">
        <v>6.6349999999999992E-4</v>
      </c>
      <c r="Z318" s="274">
        <v>6.3500000000000112E-4</v>
      </c>
      <c r="AA318" s="274">
        <v>7.0800000000000138E-4</v>
      </c>
      <c r="AB318" s="274">
        <v>6.2000000000000141E-4</v>
      </c>
      <c r="AC318" s="274">
        <v>8.9999999999999998E-4</v>
      </c>
      <c r="AD318" s="274">
        <v>9.0714285714285723E-4</v>
      </c>
      <c r="AE318" s="274">
        <v>1.0250000000000001E-3</v>
      </c>
      <c r="AF318" s="274">
        <f>IF($Z$3="yes", -4.72136803420094E-07/$X318, -4.72136803420094E-07)</f>
        <v>-2.2482704924766384E-4</v>
      </c>
      <c r="AG318" s="274">
        <f>IF($Z$3="yes", 3.32013201320096E-06/$X318, 3.32013201320096E-06)</f>
        <v>1.5810152443814097E-3</v>
      </c>
      <c r="AH318" s="274">
        <f>IF($Z$3="yes", 0.000011783913565425/$X318, 0.000011783913565425)</f>
        <v>5.6113874121071433E-3</v>
      </c>
      <c r="AI318" s="274">
        <f>IF($Z$3="yes", 5.71428571428463E-06/$X318, 5.71428571428463E-06)</f>
        <v>2.7210884353736338E-3</v>
      </c>
      <c r="AJ318" s="274">
        <f>IF($Z$3="yes", 0.0000266165413533854/$X318, 0.0000266165413533854)</f>
        <v>1.2674543501612096E-2</v>
      </c>
      <c r="AK318" s="274">
        <f>IF($Z$3="yes", 0.0000516483516483516/$X318, 0.0000516483516483516)</f>
        <v>2.4594453165881717E-2</v>
      </c>
      <c r="AL318" s="274">
        <f>IF($Z$3="yes", 0.0000999999999999998/$X318, 0.0000999999999999998)</f>
        <v>4.7619047619047526E-2</v>
      </c>
      <c r="AM318" s="274">
        <f>IF($Z$3="yes", 0.0000284999999999987/$X318, 0.0000284999999999987)</f>
        <v>1.3571428571427954E-2</v>
      </c>
      <c r="AN318" s="274">
        <f>IF($Z$3="yes", 0.0000445000000000014/$X318, 0.0000445000000000014)</f>
        <v>2.119047619047686E-2</v>
      </c>
      <c r="AO318" s="274">
        <f>IF($Z$3="yes", 0.0000434999999999985/$X318, 0.0000434999999999985)</f>
        <v>2.0714285714285002E-2</v>
      </c>
      <c r="AP318" s="274">
        <f>IF($Z$3="yes", 0.0002365/$X318, 0.0002365)</f>
        <v>0.11261904761904763</v>
      </c>
      <c r="AQ318" s="274">
        <f>IF($Z$3="yes", 0.000243642857142857/$X318, 0.000243642857142857)</f>
        <v>0.11602040816326525</v>
      </c>
      <c r="AR318" s="274">
        <f>IF($Z$3="yes", 0.0003615/$X318, 0.0003615)</f>
        <v>0.17214285714285715</v>
      </c>
      <c r="AS318" s="274">
        <f>IF($Z$3="yes", 0.0000730000000000002/$X318, 0.0000730000000000002)</f>
        <v>3.4761904761904862E-2</v>
      </c>
      <c r="AT318" s="274">
        <f>IF($Z$3="yes", 0.0000149999999999997/$X318, 0.0000149999999999997)</f>
        <v>7.1428571428570004E-3</v>
      </c>
      <c r="AU318" s="275">
        <f>IF($Z$3="yes", 0.000264999999999998/$X318, 0.000264999999999998)</f>
        <v>0.12619047619047524</v>
      </c>
      <c r="AV318" s="275">
        <f>IF($Z$3="yes", 0.000272142857142856/$X318, 0.000272142857142856)</f>
        <v>0.12959183673469335</v>
      </c>
      <c r="AW318" s="275">
        <f>IF($Z$3="yes", 0.000389999999999998/$X318, 0.000389999999999998)</f>
        <v>0.18571428571428478</v>
      </c>
      <c r="AX318" s="275">
        <f>IF($Z$3="yes", 0.0000879999999999999/$X318, 0.0000879999999999999)</f>
        <v>4.1904761904761861E-2</v>
      </c>
      <c r="AY318" s="275">
        <f>IF($Z$3="yes", 0.000279999999999998/$X318, 0.000279999999999998)</f>
        <v>0.13333333333333239</v>
      </c>
      <c r="AZ318" s="275">
        <f>IF($Z$3="yes", 0.000287142857142855/$X318, 0.000287142857142855)</f>
        <v>0.13673469387755002</v>
      </c>
      <c r="BA318" s="275">
        <f>IF($Z$3="yes", 0.000404999999999998/$X318, 0.000404999999999998)</f>
        <v>0.19285714285714192</v>
      </c>
      <c r="BB318" s="275">
        <f>IF($Z$3="yes", 0.000191999999999998/$X318, 0.000191999999999998)</f>
        <v>9.1428571428570485E-2</v>
      </c>
      <c r="BC318" s="275">
        <f>IF($Z$3="yes", 0.000199142857142855/$X318, 0.000199142857142855)</f>
        <v>9.4829931972788106E-2</v>
      </c>
      <c r="BD318" s="275">
        <f>IF($Z$3="yes", 0.000316999999999998/$X318, 0.000316999999999998)</f>
        <v>0.15095238095238001</v>
      </c>
      <c r="BE318" s="275">
        <f>IF($Z$3="yes", 7.14285714285725E-06/$X318, 7.14285714285725E-06)</f>
        <v>3.4013605442177386E-3</v>
      </c>
      <c r="BF318" s="275">
        <f>IF($Z$3="yes", 0.000125/$X318, 0.000125)</f>
        <v>5.9523809523809527E-2</v>
      </c>
      <c r="BG318" s="275">
        <f>IF($Z$3="yes", 0.000117857142857142/$X318, 0.000117857142857142)</f>
        <v>5.6122448979591434E-2</v>
      </c>
      <c r="BH318" s="275">
        <f>IF($Z$3="yes", 0.00027860544217687/$X318, 0.00027860544217687)</f>
        <v>0.13266925817946193</v>
      </c>
      <c r="BI318" s="274"/>
      <c r="BJ318" s="274"/>
      <c r="BK318" s="274">
        <f>IF($BL$3="yes", MAX(0, (217849213 - 47182684) / 85407009.2188676), 47182684)</f>
        <v>47182684</v>
      </c>
      <c r="BL318" s="274">
        <f>IF($BL$3="yes", MAX(0, (217849213 - 39256236.1) / 65417174.0954809), 39256236.1)</f>
        <v>39256236.100000001</v>
      </c>
      <c r="BM318" s="274">
        <f>IF($BL$3="yes", MAX(0, (217849213 - 20629953.05) / 49907382.7669396), 20629953.05)</f>
        <v>20629953.050000001</v>
      </c>
      <c r="BN318" s="274">
        <f>IF($BL$3="yes", MAX(0, (217849213 - 9405447.22) / 32963001.5863795), 9405447.22)</f>
        <v>9405447.2200000007</v>
      </c>
      <c r="BO318" s="274">
        <f>IF($BL$3="yes", MAX(0, (217849213 - 5937221.91) / 23772448.1714201), 5937221.91)</f>
        <v>5937221.9100000001</v>
      </c>
      <c r="BP318" s="274">
        <f>IF($BL$3="yes", MAX(0, (217849213 - 6218477.07) / 19224272.0948654), 6218477.07)</f>
        <v>6218477.0700000003</v>
      </c>
      <c r="BQ318" s="274">
        <v>81.570706371993879</v>
      </c>
      <c r="BR318" s="274"/>
      <c r="BS318" s="274"/>
      <c r="BT318" s="274">
        <v>-265763252.10952389</v>
      </c>
      <c r="BU318" s="274">
        <v>54118099.843911894</v>
      </c>
      <c r="BV318" s="274">
        <f>IF($Z$3="yes", 0.000229377542755924/$X318, 0.000229377542755924)</f>
        <v>0.10922740131234478</v>
      </c>
      <c r="BW318" s="274">
        <f>IF($Z$3="yes", 0.000108112149382087/$X318, 0.000108112149382087)</f>
        <v>5.1481975896231914E-2</v>
      </c>
      <c r="BX318" s="274">
        <f>$BW$44 - $BV$44</f>
        <v>2.6086563045203889E-2</v>
      </c>
      <c r="BY318" s="274"/>
      <c r="BZ318" s="274"/>
      <c r="CA318" s="274"/>
      <c r="CB318" s="274"/>
      <c r="CC318" s="274"/>
      <c r="CD318" s="274"/>
      <c r="CE318" s="274"/>
      <c r="CF318" s="274"/>
      <c r="CG318" s="274"/>
      <c r="CH318" s="274"/>
      <c r="CI318" s="274"/>
      <c r="CJ318" s="274"/>
      <c r="CK318" s="274"/>
      <c r="CL318" s="274"/>
      <c r="CM318" s="274"/>
      <c r="CN318" s="274"/>
      <c r="CO318" s="274"/>
      <c r="CP318" s="274"/>
      <c r="CQ318" s="70"/>
      <c r="CR318" s="70"/>
      <c r="CS318" s="274"/>
      <c r="CT318" s="274"/>
      <c r="CU318" s="274"/>
    </row>
  </sheetData>
  <mergeCells count="17">
    <mergeCell ref="B1:B4"/>
    <mergeCell ref="C1:G1"/>
    <mergeCell ref="I1:J1"/>
    <mergeCell ref="K1:L1"/>
    <mergeCell ref="C3:G3"/>
    <mergeCell ref="I3:J3"/>
    <mergeCell ref="K3:L3"/>
    <mergeCell ref="R1:U1"/>
    <mergeCell ref="C2:G2"/>
    <mergeCell ref="I2:J2"/>
    <mergeCell ref="K2:L2"/>
    <mergeCell ref="R2:U2"/>
    <mergeCell ref="R3:U3"/>
    <mergeCell ref="C4:G4"/>
    <mergeCell ref="I4:J4"/>
    <mergeCell ref="K4:L4"/>
    <mergeCell ref="R4:U4"/>
  </mergeCells>
  <conditionalFormatting sqref="K6:L318">
    <cfRule type="colorScale" priority="7">
      <colorScale>
        <cfvo type="min"/>
        <cfvo type="num" val="0"/>
        <cfvo type="percentile" val="90"/>
        <color rgb="FFF8696B"/>
        <color theme="0"/>
        <color rgb="FF63BE7B"/>
      </colorScale>
    </cfRule>
  </conditionalFormatting>
  <dataValidations count="1">
    <dataValidation type="list" showInputMessage="1" showErrorMessage="1" sqref="Z3 BL3" xr:uid="{00000000-0002-0000-0000-000000000000}">
      <formula1>"yes, no"</formula1>
    </dataValidation>
  </dataValidations>
  <hyperlinks>
    <hyperlink ref="C6" r:id="rId1" display="https://twitter.com/efitz_kiwi/status/1424801701991788545" xr:uid="{00000000-0004-0000-0000-000000000000}"/>
    <hyperlink ref="C7" r:id="rId2" display="https://twitter.com/efitz_kiwi/status/1424801701991788545" xr:uid="{00000000-0004-0000-0000-000001000000}"/>
    <hyperlink ref="C8" r:id="rId3" display="https://twitter.com/efitz_kiwi/status/1424749078274056195" xr:uid="{00000000-0004-0000-0000-000002000000}"/>
    <hyperlink ref="C9" r:id="rId4" display="https://twitter.com/efitz_kiwi/status/1424741939589656581" xr:uid="{00000000-0004-0000-0000-000003000000}"/>
    <hyperlink ref="C10" r:id="rId5" display="https://twitter.com/efitz_kiwi/status/1424729706562301953" xr:uid="{00000000-0004-0000-0000-000004000000}"/>
    <hyperlink ref="C11" r:id="rId6" display="https://twitter.com/efitz_kiwi/status/1423357688000417798" xr:uid="{00000000-0004-0000-0000-000005000000}"/>
    <hyperlink ref="C12" r:id="rId7" display="https://twitter.com/efitz_kiwi/status/1423304704377950210" xr:uid="{00000000-0004-0000-0000-000006000000}"/>
    <hyperlink ref="C13" r:id="rId8" display="https://twitter.com/efitz_kiwi/status/1423304704377950210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display="https://twitter.com/efitz_kiwi/status/1418217843523571713" xr:uid="{00000000-0004-0000-0000-00000B000000}"/>
    <hyperlink ref="C18" r:id="rId13" display="https://twitter.com/efitz_kiwi/status/1418208893646299136" xr:uid="{00000000-0004-0000-0000-00000C000000}"/>
    <hyperlink ref="C19" r:id="rId14" display="https://twitter.com/efitz_kiwi/status/1417892638871654404" xr:uid="{00000000-0004-0000-0000-00000D000000}"/>
    <hyperlink ref="C20" r:id="rId15" display="https://twitter.com/efitz_kiwi/status/1417483166558871554" xr:uid="{00000000-0004-0000-0000-00000E000000}"/>
    <hyperlink ref="C21" r:id="rId16" display="https://twitter.com/efitz_kiwi/status/1417482118301720576" xr:uid="{00000000-0004-0000-0000-00000F000000}"/>
    <hyperlink ref="C22" r:id="rId17" display="https://twitter.com/efitz_kiwi/status/1417133382161641476" xr:uid="{00000000-0004-0000-0000-000010000000}"/>
    <hyperlink ref="C23" r:id="rId18" display="https://twitter.com/efitz_kiwi/status/1416057581928435718" xr:uid="{00000000-0004-0000-0000-000011000000}"/>
    <hyperlink ref="C24" r:id="rId19" display="https://twitter.com/efitz_kiwi/status/1415722887386906628" xr:uid="{00000000-0004-0000-0000-000012000000}"/>
    <hyperlink ref="C25" r:id="rId20" display="https://twitter.com/efitz_kiwi/status/1415680599227047936" xr:uid="{00000000-0004-0000-0000-000013000000}"/>
    <hyperlink ref="C26" r:id="rId21" display="https://twitter.com/efitz_kiwi/status/1415445168782815235" xr:uid="{00000000-0004-0000-0000-000014000000}"/>
    <hyperlink ref="C27" r:id="rId22" display="https://twitter.com/efitz_kiwi/status/1415444460809474052" xr:uid="{00000000-0004-0000-0000-000015000000}"/>
    <hyperlink ref="C28" r:id="rId23" display="https://twitter.com/efitz_kiwi/status/1415020441568256005" xr:uid="{00000000-0004-0000-0000-000016000000}"/>
    <hyperlink ref="C29" r:id="rId24" display="https://twitter.com/efitz_kiwi/status/1414976533039620096" xr:uid="{00000000-0004-0000-0000-000017000000}"/>
    <hyperlink ref="C30" r:id="rId25" display="https://twitter.com/efitz_kiwi/status/1414669784050962438" xr:uid="{00000000-0004-0000-0000-000018000000}"/>
    <hyperlink ref="C31" r:id="rId26" display="https://twitter.com/efitz_kiwi/status/1414665365733380096" xr:uid="{00000000-0004-0000-0000-000019000000}"/>
    <hyperlink ref="C32" r:id="rId27" display="https://twitter.com/efitz_kiwi/status/1414639947496271878" xr:uid="{00000000-0004-0000-0000-00001A000000}"/>
    <hyperlink ref="C33" r:id="rId28" display="https://twitter.com/efitz_kiwi/status/1413537234276528130" xr:uid="{00000000-0004-0000-0000-00001B000000}"/>
    <hyperlink ref="C34" r:id="rId29" display="https://twitter.com/efitz_kiwi/status/1413152365616799745" xr:uid="{00000000-0004-0000-0000-00001C000000}"/>
    <hyperlink ref="C35" r:id="rId30" display="https://twitter.com/efitz_kiwi/status/1413135930916020224" xr:uid="{00000000-0004-0000-0000-00001D000000}"/>
    <hyperlink ref="C36" r:id="rId31" display="https://twitter.com/efitz_kiwi/status/1412831949387882501" xr:uid="{00000000-0004-0000-0000-00001E000000}"/>
    <hyperlink ref="C37" r:id="rId32" display="https://twitter.com/efitz_kiwi/status/1412471677410283526" xr:uid="{00000000-0004-0000-0000-00001F000000}"/>
    <hyperlink ref="C38" r:id="rId33" display="https://twitter.com/efitz_kiwi/status/1412471211188174853" xr:uid="{00000000-0004-0000-0000-000020000000}"/>
    <hyperlink ref="C39" r:id="rId34" display="https://twitter.com/efitz_kiwi/status/1412424623065534464" xr:uid="{00000000-0004-0000-0000-000021000000}"/>
    <hyperlink ref="C40" r:id="rId35" display="https://twitter.com/efitz_kiwi/status/1411041436158550017" xr:uid="{00000000-0004-0000-0000-000022000000}"/>
    <hyperlink ref="C41" r:id="rId36" display="https://twitter.com/efitz_kiwi/status/1411020770696908803" xr:uid="{00000000-0004-0000-0000-000023000000}"/>
    <hyperlink ref="C42" r:id="rId37" display="https://twitter.com/efitz_kiwi/status/1410642323235553289" xr:uid="{00000000-0004-0000-0000-000024000000}"/>
    <hyperlink ref="C43" r:id="rId38" display="https://twitter.com/efitz_kiwi/status/1410648799291260931" xr:uid="{00000000-0004-0000-0000-000025000000}"/>
    <hyperlink ref="C44" r:id="rId39" display="https://twitter.com/efitz_kiwi/status/1410242070439251968" xr:uid="{00000000-0004-0000-0000-000026000000}"/>
    <hyperlink ref="C45" r:id="rId40" display="https://twitter.com/efitz_kiwi/status/1410352451669180424" xr:uid="{00000000-0004-0000-0000-000027000000}"/>
    <hyperlink ref="C46" r:id="rId41" display="https://twitter.com/efitz_kiwi/status/1409950828341903364" xr:uid="{00000000-0004-0000-0000-000028000000}"/>
    <hyperlink ref="C47" r:id="rId42" display="https://twitter.com/efitz_kiwi/status/1409954562165907462" xr:uid="{00000000-0004-0000-0000-000029000000}"/>
    <hyperlink ref="C48" r:id="rId43" display="https://twitter.com/efitz_kiwi/status/1409508903457542144" xr:uid="{00000000-0004-0000-0000-00002A000000}"/>
    <hyperlink ref="C49" r:id="rId44" display="https://twitter.com/efitz_kiwi/status/1409594823770783747" xr:uid="{00000000-0004-0000-0000-00002B000000}"/>
    <hyperlink ref="C50" r:id="rId45" display="https://twitter.com/efitz_kiwi/status/1409728226319077380" xr:uid="{00000000-0004-0000-0000-00002C000000}"/>
    <hyperlink ref="C51" r:id="rId46" display="https://twitter.com/efitz_kiwi/status/1408120815699304455" xr:uid="{00000000-0004-0000-0000-00002D000000}"/>
    <hyperlink ref="C52" r:id="rId47" display="https://twitter.com/efitz_kiwi/status/1407751316059967494" xr:uid="{00000000-0004-0000-0000-00002E000000}"/>
    <hyperlink ref="C53" r:id="rId48" display="https://twitter.com/efitz_kiwi/status/1407707026818535425" xr:uid="{00000000-0004-0000-0000-00002F000000}"/>
    <hyperlink ref="C54" r:id="rId49" display="https://twitter.com/efitz_kiwi/status/1407706679626670080" xr:uid="{00000000-0004-0000-0000-000030000000}"/>
    <hyperlink ref="C55" r:id="rId50" display="https://twitter.com/efitz_kiwi/status/1407087666294923266" xr:uid="{00000000-0004-0000-0000-000031000000}"/>
    <hyperlink ref="C56" r:id="rId51" display="https://twitter.com/efitz_kiwi/status/1407089229876895748" xr:uid="{00000000-0004-0000-0000-000032000000}"/>
    <hyperlink ref="C57" r:id="rId52" display="https://twitter.com/efitz_kiwi/status/1405918901154820097" xr:uid="{00000000-0004-0000-0000-000033000000}"/>
    <hyperlink ref="C58" r:id="rId53" display="https://twitter.com/efitz_kiwi/status/1405927087228264460" xr:uid="{00000000-0004-0000-0000-000034000000}"/>
    <hyperlink ref="C59" r:id="rId54" display="https://twitter.com/efitz_kiwi/status/1405583763237703683" xr:uid="{00000000-0004-0000-0000-000035000000}"/>
    <hyperlink ref="C60" r:id="rId55" display="https://twitter.com/efitz_kiwi/status/1405737768831971335" xr:uid="{00000000-0004-0000-0000-000036000000}"/>
    <hyperlink ref="C61" r:id="rId56" display="https://twitter.com/efitz_kiwi/status/1404608094840238087" xr:uid="{00000000-0004-0000-0000-000037000000}"/>
    <hyperlink ref="C62" r:id="rId57" display="https://twitter.com/efitz_kiwi/status/1404612169644265472" xr:uid="{00000000-0004-0000-0000-000038000000}"/>
    <hyperlink ref="C63" r:id="rId58" display="https://twitter.com/efitz_kiwi/status/1404610005618335746" xr:uid="{00000000-0004-0000-0000-000039000000}"/>
    <hyperlink ref="C64" r:id="rId59" display="https://twitter.com/efitz_kiwi/status/1404617321273044997" xr:uid="{00000000-0004-0000-0000-00003A000000}"/>
    <hyperlink ref="C65" r:id="rId60" display="https://twitter.com/efitz_kiwi/status/1404605911809859587" xr:uid="{00000000-0004-0000-0000-00003B000000}"/>
    <hyperlink ref="C66" r:id="rId61" display="https://twitter.com/efitz_kiwi/status/1404617859263778817" xr:uid="{00000000-0004-0000-0000-00003C000000}"/>
    <hyperlink ref="C67" r:id="rId62" display="https://twitter.com/efitz_kiwi/status/1404614744347234307" xr:uid="{00000000-0004-0000-0000-00003D000000}"/>
    <hyperlink ref="C68" r:id="rId63" display="https://twitter.com/efitz_kiwi/status/1404616509486505987" xr:uid="{00000000-0004-0000-0000-00003E000000}"/>
    <hyperlink ref="C69" r:id="rId64" display="https://twitter.com/efitz_kiwi/status/1404608789811236881" xr:uid="{00000000-0004-0000-0000-00003F000000}"/>
    <hyperlink ref="C70" r:id="rId65" display="https://twitter.com/efitz_kiwi/status/1404606771809898499" xr:uid="{00000000-0004-0000-0000-000040000000}"/>
    <hyperlink ref="C71" r:id="rId66" display="https://twitter.com/efitz_kiwi/status/1403056557995212804" xr:uid="{00000000-0004-0000-0000-000041000000}"/>
    <hyperlink ref="C72" r:id="rId67" display="https://twitter.com/efitz_kiwi/status/1403121145587589121" xr:uid="{00000000-0004-0000-0000-000042000000}"/>
    <hyperlink ref="C73" r:id="rId68" display="https://twitter.com/efitz_kiwi/status/1403079902925148164" xr:uid="{00000000-0004-0000-0000-000043000000}"/>
    <hyperlink ref="C74" r:id="rId69" display="https://twitter.com/efitz_kiwi/status/1402672842584608775" xr:uid="{00000000-0004-0000-0000-000044000000}"/>
    <hyperlink ref="C75" r:id="rId70" display="https://twitter.com/efitz_kiwi/status/1402672306422484995" xr:uid="{00000000-0004-0000-0000-000045000000}"/>
    <hyperlink ref="C76" r:id="rId71" display="https://twitter.com/efitz_kiwi/status/1402341483840167937" xr:uid="{00000000-0004-0000-0000-000046000000}"/>
    <hyperlink ref="C77" r:id="rId72" display="https://twitter.com/efitz_kiwi/status/1400868965568614407" xr:uid="{00000000-0004-0000-0000-000047000000}"/>
    <hyperlink ref="C78" r:id="rId73" display="https://twitter.com/efitz_kiwi/status/1400901851319504899" xr:uid="{00000000-0004-0000-0000-000048000000}"/>
    <hyperlink ref="C79" r:id="rId74" display="https://twitter.com/efitz_kiwi/status/1400896761955340294" xr:uid="{00000000-0004-0000-0000-000049000000}"/>
    <hyperlink ref="C80" r:id="rId75" display="https://twitter.com/efitz_kiwi/status/1401996018544218118" xr:uid="{00000000-0004-0000-0000-00004A000000}"/>
    <hyperlink ref="C81" r:id="rId76" display="https://twitter.com/efitz_kiwi/status/1400870410913206274" xr:uid="{00000000-0004-0000-0000-00004B000000}"/>
    <hyperlink ref="C82" r:id="rId77" display="https://twitter.com/efitz_kiwi/status/1400868279485448192" xr:uid="{00000000-0004-0000-0000-00004C000000}"/>
    <hyperlink ref="C83" r:id="rId78" display="https://twitter.com/efitz_kiwi/status/1401991384429694981" xr:uid="{00000000-0004-0000-0000-00004D000000}"/>
    <hyperlink ref="C84" r:id="rId79" display="https://twitter.com/efitz_kiwi/status/1400869611319566343" xr:uid="{00000000-0004-0000-0000-00004E000000}"/>
    <hyperlink ref="C85" r:id="rId80" display="https://twitter.com/efitz_kiwi/status/1400870911956430850" xr:uid="{00000000-0004-0000-0000-00004F000000}"/>
    <hyperlink ref="C86" r:id="rId81" display="https://twitter.com/efitz_kiwi/status/1400895563026112517" xr:uid="{00000000-0004-0000-0000-000050000000}"/>
    <hyperlink ref="C87" r:id="rId82" display="https://twitter.com/efitz_kiwi/status/1398334037316542466" xr:uid="{00000000-0004-0000-0000-000051000000}"/>
    <hyperlink ref="C88" r:id="rId83" display="https://twitter.com/efitz_kiwi/status/1397565880305913858" xr:uid="{00000000-0004-0000-0000-000052000000}"/>
    <hyperlink ref="C89" r:id="rId84" display="https://twitter.com/efitz_kiwi/status/1397637086920982534" xr:uid="{00000000-0004-0000-0000-000053000000}"/>
    <hyperlink ref="C90" r:id="rId85" display="https://twitter.com/efitz_kiwi/status/1397545436655800328" xr:uid="{00000000-0004-0000-0000-000054000000}"/>
    <hyperlink ref="C91" r:id="rId86" display="https://twitter.com/efitz_kiwi/status/1397573525767081984" xr:uid="{00000000-0004-0000-0000-000055000000}"/>
    <hyperlink ref="C92" r:id="rId87" display="https://twitter.com/efitz_kiwi/status/1397583941314482177" xr:uid="{00000000-0004-0000-0000-000056000000}"/>
    <hyperlink ref="C93" r:id="rId88" display="https://twitter.com/efitz_kiwi/status/1397237808964714501" xr:uid="{00000000-0004-0000-0000-000057000000}"/>
    <hyperlink ref="C94" r:id="rId89" display="https://twitter.com/efitz_kiwi/status/1397240531642617856" xr:uid="{00000000-0004-0000-0000-000058000000}"/>
    <hyperlink ref="C95" r:id="rId90" display="https://twitter.com/efitz_kiwi/status/1397039613089300483" xr:uid="{00000000-0004-0000-0000-000059000000}"/>
    <hyperlink ref="C96" r:id="rId91" display="https://twitter.com/efitz_kiwi/status/1396863377033547782" xr:uid="{00000000-0004-0000-0000-00005A000000}"/>
    <hyperlink ref="C97" r:id="rId92" display="https://twitter.com/efitz_kiwi/status/1396864227852398592" xr:uid="{00000000-0004-0000-0000-00005B000000}"/>
    <hyperlink ref="C98" r:id="rId93" display="https://twitter.com/efitz_kiwi/status/1396867690049032192" xr:uid="{00000000-0004-0000-0000-00005C000000}"/>
    <hyperlink ref="C99" r:id="rId94" display="https://twitter.com/efitz_kiwi/status/1396869545118285827" xr:uid="{00000000-0004-0000-0000-00005D000000}"/>
    <hyperlink ref="C100" r:id="rId95" display="https://twitter.com/efitz_kiwi/status/1396870108144939013" xr:uid="{00000000-0004-0000-0000-00005E000000}"/>
    <hyperlink ref="C101" r:id="rId96" display="https://twitter.com/efitz_kiwi/status/1396871217857060869" xr:uid="{00000000-0004-0000-0000-00005F000000}"/>
    <hyperlink ref="C102" r:id="rId97" display="https://twitter.com/efitz_kiwi/status/1396941900930768900" xr:uid="{00000000-0004-0000-0000-000060000000}"/>
    <hyperlink ref="C103" r:id="rId98" display="https://twitter.com/efitz_kiwi/status/1395780651291394055" xr:uid="{00000000-0004-0000-0000-000061000000}"/>
    <hyperlink ref="C104" r:id="rId99" display="https://twitter.com/efitz_kiwi/status/1395857446434918401" xr:uid="{00000000-0004-0000-0000-000062000000}"/>
    <hyperlink ref="C105" r:id="rId100" display="https://twitter.com/efitz_kiwi/status/1395858177909010440" xr:uid="{00000000-0004-0000-0000-000063000000}"/>
    <hyperlink ref="C106" r:id="rId101" display="https://twitter.com/efitz_kiwi/status/1396309583317114882" xr:uid="{00000000-0004-0000-0000-000064000000}"/>
    <hyperlink ref="C107" r:id="rId102" display="https://twitter.com/RealBearishBULL/status/1395414674376585218" xr:uid="{00000000-0004-0000-0000-000065000000}"/>
    <hyperlink ref="C108" r:id="rId103" display="https://twitter.com/efitz_kiwi/status/1395423666192662529" xr:uid="{00000000-0004-0000-0000-000066000000}"/>
    <hyperlink ref="C109" r:id="rId104" display="https://twitter.com/efitz_kiwi/status/1395446359646420998" xr:uid="{00000000-0004-0000-0000-000067000000}"/>
    <hyperlink ref="C110" r:id="rId105" display="https://twitter.com/efitz_kiwi/status/1395568996582363138" xr:uid="{00000000-0004-0000-0000-000068000000}"/>
    <hyperlink ref="C111" r:id="rId106" display="https://twitter.com/efitz_kiwi/status/1395571915520159745" xr:uid="{00000000-0004-0000-0000-000069000000}"/>
    <hyperlink ref="C112" r:id="rId107" display="https://twitter.com/efitz_kiwi/status/1395231403843915778" xr:uid="{00000000-0004-0000-0000-00006A000000}"/>
    <hyperlink ref="C113" r:id="rId108" display="https://twitter.com/efitz_kiwi/status/1395411105657278465" xr:uid="{00000000-0004-0000-0000-00006B000000}"/>
    <hyperlink ref="C114" r:id="rId109" display="https://twitter.com/efitz_kiwi/status/1395412687753031681" xr:uid="{00000000-0004-0000-0000-00006C000000}"/>
    <hyperlink ref="C115" r:id="rId110" display="https://twitter.com/efitz_kiwi/status/1395441229584904194" xr:uid="{00000000-0004-0000-0000-00006D000000}"/>
    <hyperlink ref="C116" r:id="rId111" display="https://twitter.com/efitz_kiwi/status/1395073738614452227" xr:uid="{00000000-0004-0000-0000-00006E000000}"/>
    <hyperlink ref="C117" r:id="rId112" display="https://twitter.com/efitz_kiwi/status/1395139008913678344" xr:uid="{00000000-0004-0000-0000-00006F000000}"/>
    <hyperlink ref="C118" r:id="rId113" display="https://twitter.com/efitz_kiwi/status/1395099486930751488" xr:uid="{00000000-0004-0000-0000-000070000000}"/>
    <hyperlink ref="C119" r:id="rId114" display="https://twitter.com/efitz_kiwi/status/1395083546969128966" xr:uid="{00000000-0004-0000-0000-000071000000}"/>
    <hyperlink ref="C120" r:id="rId115" display="https://twitter.com/efitz_kiwi/status/1395086308633108481" xr:uid="{00000000-0004-0000-0000-000072000000}"/>
    <hyperlink ref="C121" r:id="rId116" display="https://twitter.com/efitz_kiwi/status/1395103263138197508" xr:uid="{00000000-0004-0000-0000-000073000000}"/>
    <hyperlink ref="C122" r:id="rId117" display="https://twitter.com/efitz_kiwi/status/1394759243044200450" xr:uid="{00000000-0004-0000-0000-000074000000}"/>
    <hyperlink ref="C123" r:id="rId118" display="https://twitter.com/efitz_kiwi/status/1394757767685152768" xr:uid="{00000000-0004-0000-0000-000075000000}"/>
    <hyperlink ref="C124" r:id="rId119" display="https://twitter.com/efitz_kiwi/status/1394758962285797387" xr:uid="{00000000-0004-0000-0000-000076000000}"/>
    <hyperlink ref="C125" r:id="rId120" display="https://twitter.com/efitz_kiwi/status/1394707728308838402" xr:uid="{00000000-0004-0000-0000-000077000000}"/>
    <hyperlink ref="C126" r:id="rId121" display="https://twitter.com/efitz_kiwi/status/1394755890830512130" xr:uid="{00000000-0004-0000-0000-000078000000}"/>
    <hyperlink ref="C127" r:id="rId122" display="https://twitter.com/efitz_kiwi/status/1394735936156614656" xr:uid="{00000000-0004-0000-0000-000079000000}"/>
    <hyperlink ref="C128" r:id="rId123" display="https://twitter.com/efitz_kiwi/status/1394737245979086851" xr:uid="{00000000-0004-0000-0000-00007A000000}"/>
    <hyperlink ref="C129" r:id="rId124" display="https://twitter.com/efitz_kiwi/status/1394739118815449093" xr:uid="{00000000-0004-0000-0000-00007B000000}"/>
    <hyperlink ref="C130" r:id="rId125" display="https://twitter.com/efitz_kiwi/status/1394739331558957060" xr:uid="{00000000-0004-0000-0000-00007C000000}"/>
    <hyperlink ref="C131" r:id="rId126" display="https://twitter.com/efitz_kiwi/status/1394354259878154240" xr:uid="{00000000-0004-0000-0000-00007D000000}"/>
    <hyperlink ref="C132" r:id="rId127" display="https://twitter.com/efitz_kiwi/status/1394127247947313156" xr:uid="{00000000-0004-0000-0000-00007E000000}"/>
    <hyperlink ref="C133" r:id="rId128" display="https://twitter.com/efitz_kiwi/status/1392910242858643457" xr:uid="{00000000-0004-0000-0000-00007F000000}"/>
    <hyperlink ref="C134" r:id="rId129" display="https://twitter.com/efitz_kiwi/status/1392910242858643457" xr:uid="{00000000-0004-0000-0000-000080000000}"/>
    <hyperlink ref="C135" r:id="rId130" display="https://twitter.com/efitz_kiwi/status/1392910242858643457" xr:uid="{00000000-0004-0000-0000-000081000000}"/>
    <hyperlink ref="C136" r:id="rId131" display="https://twitter.com/efitz_kiwi/status/1392545306332516357" xr:uid="{00000000-0004-0000-0000-000082000000}"/>
    <hyperlink ref="C137" r:id="rId132" display="https://twitter.com/efitz_kiwi/status/1392267667218878467" xr:uid="{00000000-0004-0000-0000-000083000000}"/>
    <hyperlink ref="C138" r:id="rId133" display="https://twitter.com/efitz_kiwi/status/1391803509390053387" xr:uid="{00000000-0004-0000-0000-000084000000}"/>
    <hyperlink ref="C139" r:id="rId134" display="https://twitter.com/efitz_kiwi/status/1390682022461509637" xr:uid="{00000000-0004-0000-0000-000085000000}"/>
    <hyperlink ref="C140" r:id="rId135" display="https://twitter.com/efitz_kiwi/status/1390696437822984192" xr:uid="{00000000-0004-0000-0000-000086000000}"/>
    <hyperlink ref="C141" r:id="rId136" display="https://twitter.com/efitz_kiwi/status/1390002552356413443" xr:uid="{00000000-0004-0000-0000-000087000000}"/>
    <hyperlink ref="C142" r:id="rId137" display="https://twitter.com/efitz_kiwi/status/1388166715796856837" xr:uid="{00000000-0004-0000-0000-000088000000}"/>
    <hyperlink ref="C143" r:id="rId138" display="https://twitter.com/efitz_kiwi/status/1387494628853698560" xr:uid="{00000000-0004-0000-0000-000089000000}"/>
    <hyperlink ref="C144" r:id="rId139" display="https://twitter.com/efitz_kiwi/status/1386842673168932871" xr:uid="{00000000-0004-0000-0000-00008A000000}"/>
    <hyperlink ref="C145" r:id="rId140" display="https://twitter.com/efitz_kiwi/status/1385317480986550280" xr:uid="{00000000-0004-0000-0000-00008B000000}"/>
    <hyperlink ref="C146" r:id="rId141" display="https://twitter.com/efitz_kiwi/status/1384552894972801035" xr:uid="{00000000-0004-0000-0000-00008C000000}"/>
    <hyperlink ref="C147" r:id="rId142" display="https://twitter.com/efitz_kiwi/status/1384671535022149633" xr:uid="{00000000-0004-0000-0000-00008D000000}"/>
    <hyperlink ref="C148" r:id="rId143" display="https://twitter.com/efitz_kiwi/status/1380177366337605634" xr:uid="{00000000-0004-0000-0000-00008E000000}"/>
    <hyperlink ref="C149" r:id="rId144" display="https://twitter.com/efitz_kiwi/status/1379796138740572167" xr:uid="{00000000-0004-0000-0000-00008F000000}"/>
    <hyperlink ref="C150" r:id="rId145" display="https://twitter.com/efitz_kiwi/status/1379878169617051649" xr:uid="{00000000-0004-0000-0000-000090000000}"/>
    <hyperlink ref="C151" r:id="rId146" display="https://twitter.com/efitz_kiwi/status/1379500260586819599" xr:uid="{00000000-0004-0000-0000-000091000000}"/>
    <hyperlink ref="C152" r:id="rId147" display="https://twitter.com/efitz_kiwi/status/1377670628778651650" xr:uid="{00000000-0004-0000-0000-000092000000}"/>
    <hyperlink ref="C153" r:id="rId148" display="https://twitter.com/efitz_kiwi/status/1376247738996785167" xr:uid="{00000000-0004-0000-0000-000093000000}"/>
    <hyperlink ref="C154" r:id="rId149" display="https://twitter.com/efitz_kiwi/status/1376247738996785167" xr:uid="{00000000-0004-0000-0000-000094000000}"/>
    <hyperlink ref="C155" r:id="rId150" display="https://twitter.com/efitz_kiwi/status/1376247738996785167" xr:uid="{00000000-0004-0000-0000-000095000000}"/>
    <hyperlink ref="C156" r:id="rId151" display="https://twitter.com/efitz_kiwi/status/1376247738996785167" xr:uid="{00000000-0004-0000-0000-000096000000}"/>
    <hyperlink ref="C157" r:id="rId152" display="https://twitter.com/efitz_kiwi/status/1376247738996785167" xr:uid="{00000000-0004-0000-0000-000097000000}"/>
    <hyperlink ref="C158" r:id="rId153" display="https://twitter.com/efitz_kiwi/status/1376247738996785167" xr:uid="{00000000-0004-0000-0000-000098000000}"/>
    <hyperlink ref="C159" r:id="rId154" display="https://twitter.com/efitz_kiwi/status/1376247738996785167" xr:uid="{00000000-0004-0000-0000-000099000000}"/>
    <hyperlink ref="C160" r:id="rId155" display="https://twitter.com/efitz_kiwi/status/1376247738996785167" xr:uid="{00000000-0004-0000-0000-00009A000000}"/>
    <hyperlink ref="C161" r:id="rId156" display="https://twitter.com/efitz_kiwi/status/1376247738996785167" xr:uid="{00000000-0004-0000-0000-00009B000000}"/>
    <hyperlink ref="C162" r:id="rId157" display="https://twitter.com/efitz_kiwi/status/1376247738996785167" xr:uid="{00000000-0004-0000-0000-00009C000000}"/>
    <hyperlink ref="C163" r:id="rId158" display="https://twitter.com/efitz_kiwi/status/1376247738996785167" xr:uid="{00000000-0004-0000-0000-00009D000000}"/>
    <hyperlink ref="C164" r:id="rId159" display="https://twitter.com/efitz_kiwi/status/1376247738996785167" xr:uid="{00000000-0004-0000-0000-00009E000000}"/>
    <hyperlink ref="C165" r:id="rId160" display="https://twitter.com/efitz_kiwi/status/1375141258914586629" xr:uid="{00000000-0004-0000-0000-00009F000000}"/>
    <hyperlink ref="C166" r:id="rId161" display="https://twitter.com/efitz_kiwi/status/1375141407812423687" xr:uid="{00000000-0004-0000-0000-0000A0000000}"/>
    <hyperlink ref="C167" r:id="rId162" display="https://twitter.com/efitz_kiwi/status/1373988116365783040" xr:uid="{00000000-0004-0000-0000-0000A1000000}"/>
    <hyperlink ref="C168" r:id="rId163" display="https://twitter.com/efitz_kiwi/status/1373988116365783040" xr:uid="{00000000-0004-0000-0000-0000A2000000}"/>
    <hyperlink ref="C169" r:id="rId164" display="https://twitter.com/efitz_kiwi/status/1373988116365783040" xr:uid="{00000000-0004-0000-0000-0000A3000000}"/>
    <hyperlink ref="C170" r:id="rId165" display="https://twitter.com/efitz_kiwi/status/1373988116365783040" xr:uid="{00000000-0004-0000-0000-0000A4000000}"/>
    <hyperlink ref="C171" r:id="rId166" display="https://twitter.com/efitz_kiwi/status/1373988116365783040" xr:uid="{00000000-0004-0000-0000-0000A5000000}"/>
    <hyperlink ref="C172" r:id="rId167" display="https://twitter.com/efitz_kiwi/status/1373988116365783040" xr:uid="{00000000-0004-0000-0000-0000A6000000}"/>
    <hyperlink ref="C173" r:id="rId168" display="https://twitter.com/efitz_kiwi/status/1373988116365783040" xr:uid="{00000000-0004-0000-0000-0000A7000000}"/>
    <hyperlink ref="C174" r:id="rId169" display="https://twitter.com/efitz_kiwi/status/1373988116365783040" xr:uid="{00000000-0004-0000-0000-0000A8000000}"/>
    <hyperlink ref="C175" r:id="rId170" display="https://twitter.com/efitz_kiwi/status/1373988116365783040" xr:uid="{00000000-0004-0000-0000-0000A9000000}"/>
    <hyperlink ref="C176" r:id="rId171" display="https://twitter.com/efitz_kiwi/status/1371640822559604738" xr:uid="{00000000-0004-0000-0000-0000AA000000}"/>
    <hyperlink ref="C180" r:id="rId172" display="https://twitter.com/efitz_kiwi/status/1366780403298803720" xr:uid="{00000000-0004-0000-0000-0000AB000000}"/>
    <hyperlink ref="C185" r:id="rId173" display="https://twitter.com/efitz_kiwi/status/1364618081633501184" xr:uid="{00000000-0004-0000-0000-0000AC000000}"/>
    <hyperlink ref="C187" r:id="rId174" display="https://twitter.com/efitz_kiwi/status/1363979414367850509" xr:uid="{00000000-0004-0000-0000-0000AD000000}"/>
    <hyperlink ref="C188" r:id="rId175" display="https://twitter.com/efitz_kiwi/status/1363979414367850509" xr:uid="{00000000-0004-0000-0000-0000AE000000}"/>
    <hyperlink ref="C189" r:id="rId176" display="https://twitter.com/efitz_kiwi/status/1362849056935051269" xr:uid="{00000000-0004-0000-0000-0000AF000000}"/>
    <hyperlink ref="C190" r:id="rId177" display="https://twitter.com/efitz_kiwi/status/1361500892575526914" xr:uid="{00000000-0004-0000-0000-0000B0000000}"/>
    <hyperlink ref="C191" r:id="rId178" display="https://twitter.com/efitz_kiwi/status/1361500892575526914" xr:uid="{00000000-0004-0000-0000-0000B1000000}"/>
    <hyperlink ref="C192" r:id="rId179" display="https://twitter.com/efitz_kiwi/status/1361500892575526914" xr:uid="{00000000-0004-0000-0000-0000B2000000}"/>
    <hyperlink ref="C193" r:id="rId180" display="https://twitter.com/efitz_kiwi/status/1361500892575526914" xr:uid="{00000000-0004-0000-0000-0000B3000000}"/>
    <hyperlink ref="C194" r:id="rId181" display="https://twitter.com/efitz_kiwi/status/1359347745899880448" xr:uid="{00000000-0004-0000-0000-0000B4000000}"/>
    <hyperlink ref="C195" r:id="rId182" display="https://twitter.com/efitz_kiwi/status/1359347745899880448" xr:uid="{00000000-0004-0000-0000-0000B5000000}"/>
    <hyperlink ref="C196" r:id="rId183" display="https://twitter.com/efitz_kiwi/status/1359347745899880448" xr:uid="{00000000-0004-0000-0000-0000B6000000}"/>
    <hyperlink ref="C197" r:id="rId184" display="https://twitter.com/efitz_kiwi/status/1359347745899880448" xr:uid="{00000000-0004-0000-0000-0000B7000000}"/>
    <hyperlink ref="C198" r:id="rId185" display="https://twitter.com/efitz_kiwi/status/1359347745899880448" xr:uid="{00000000-0004-0000-0000-0000B8000000}"/>
    <hyperlink ref="C199" r:id="rId186" display="https://twitter.com/efitz_kiwi/status/1359347745899880448" xr:uid="{00000000-0004-0000-0000-0000B9000000}"/>
    <hyperlink ref="C200" r:id="rId187" display="https://twitter.com/efitz_kiwi/status/1359347745899880448" xr:uid="{00000000-0004-0000-0000-0000BA000000}"/>
    <hyperlink ref="C201" r:id="rId188" display="https://twitter.com/efitz_kiwi/status/1359347745899880448" xr:uid="{00000000-0004-0000-0000-0000BB000000}"/>
    <hyperlink ref="C202" r:id="rId189" display="https://twitter.com/efitz_kiwi/status/1359347745899880448" xr:uid="{00000000-0004-0000-0000-0000BC000000}"/>
    <hyperlink ref="C203" r:id="rId190" display="https://twitter.com/efitz_kiwi/status/1359347745899880448" xr:uid="{00000000-0004-0000-0000-0000BD000000}"/>
    <hyperlink ref="C204" r:id="rId191" display="https://twitter.com/efitz_kiwi/status/1359347745899880448" xr:uid="{00000000-0004-0000-0000-0000BE000000}"/>
    <hyperlink ref="C205" r:id="rId192" display="https://twitter.com/efitz_kiwi/status/1359347745899880448" xr:uid="{00000000-0004-0000-0000-0000BF000000}"/>
    <hyperlink ref="C206" r:id="rId193" display="https://twitter.com/efitz_kiwi/status/1358632451732570115" xr:uid="{00000000-0004-0000-0000-0000C0000000}"/>
    <hyperlink ref="C207" r:id="rId194" display="https://twitter.com/efitz_kiwi/status/1358632451732570115" xr:uid="{00000000-0004-0000-0000-0000C1000000}"/>
    <hyperlink ref="C208" r:id="rId195" display="https://twitter.com/efitz_kiwi/status/1358632451732570115" xr:uid="{00000000-0004-0000-0000-0000C2000000}"/>
    <hyperlink ref="C209" r:id="rId196" display="https://twitter.com/efitz_kiwi/status/1358632451732570115" xr:uid="{00000000-0004-0000-0000-0000C3000000}"/>
    <hyperlink ref="C210" r:id="rId197" display="https://twitter.com/efitz_kiwi/status/1358632451732570115" xr:uid="{00000000-0004-0000-0000-0000C4000000}"/>
    <hyperlink ref="C211" r:id="rId198" display="https://twitter.com/efitz_kiwi/status/1358632451732570115" xr:uid="{00000000-0004-0000-0000-0000C5000000}"/>
    <hyperlink ref="C212" r:id="rId199" display="https://twitter.com/efitz_kiwi/status/1358632451732570115" xr:uid="{00000000-0004-0000-0000-0000C6000000}"/>
    <hyperlink ref="C213" r:id="rId200" display="https://twitter.com/efitz_kiwi/status/1358632451732570115" xr:uid="{00000000-0004-0000-0000-0000C7000000}"/>
    <hyperlink ref="C214" r:id="rId201" display="https://twitter.com/efitz_kiwi/status/1358632451732570115" xr:uid="{00000000-0004-0000-0000-0000C8000000}"/>
    <hyperlink ref="C215" r:id="rId202" display="https://twitter.com/efitz_kiwi/status/1358632451732570115" xr:uid="{00000000-0004-0000-0000-0000C9000000}"/>
    <hyperlink ref="C216" r:id="rId203" display="https://twitter.com/efitz_kiwi/status/1358632451732570115" xr:uid="{00000000-0004-0000-0000-0000CA000000}"/>
    <hyperlink ref="C217" r:id="rId204" display="https://twitter.com/efitz_kiwi/status/1355206349299326980" xr:uid="{00000000-0004-0000-0000-0000CB000000}"/>
    <hyperlink ref="C218" r:id="rId205" display="https://twitter.com/efitz_kiwi/status/1354938550383468549" xr:uid="{00000000-0004-0000-0000-0000CC000000}"/>
    <hyperlink ref="C220" r:id="rId206" display="https://twitter.com/efitz_kiwi/status/1353749984995373066" xr:uid="{00000000-0004-0000-0000-0000CD000000}"/>
    <hyperlink ref="C221" r:id="rId207" display="https://twitter.com/efitz_kiwi/status/1353749984995373066" xr:uid="{00000000-0004-0000-0000-0000CE000000}"/>
    <hyperlink ref="C222" r:id="rId208" display="https://twitter.com/efitz_kiwi/status/1353441051168567301" xr:uid="{00000000-0004-0000-0000-0000CF000000}"/>
    <hyperlink ref="C223" r:id="rId209" display="https://twitter.com/efitz_kiwi/status/1353441051168567301" xr:uid="{00000000-0004-0000-0000-0000D0000000}"/>
    <hyperlink ref="C224" r:id="rId210" display="https://twitter.com/efitz_kiwi/status/1353441051168567301" xr:uid="{00000000-0004-0000-0000-0000D1000000}"/>
    <hyperlink ref="C225" r:id="rId211" display="https://twitter.com/efitz_kiwi/status/1353441051168567301" xr:uid="{00000000-0004-0000-0000-0000D2000000}"/>
    <hyperlink ref="C226" r:id="rId212" display="https://twitter.com/efitz_kiwi/status/1353441051168567301" xr:uid="{00000000-0004-0000-0000-0000D3000000}"/>
    <hyperlink ref="C227" r:id="rId213" display="https://twitter.com/efitz_kiwi/status/1353441051168567301" xr:uid="{00000000-0004-0000-0000-0000D4000000}"/>
    <hyperlink ref="C228" r:id="rId214" display="https://twitter.com/efitz_kiwi/status/1353441051168567301" xr:uid="{00000000-0004-0000-0000-0000D5000000}"/>
    <hyperlink ref="C229" r:id="rId215" display="https://twitter.com/efitz_kiwi/status/1353441051168567301" xr:uid="{00000000-0004-0000-0000-0000D6000000}"/>
    <hyperlink ref="C230" r:id="rId216" display="https://twitter.com/efitz_kiwi/status/1353441051168567301" xr:uid="{00000000-0004-0000-0000-0000D7000000}"/>
    <hyperlink ref="C231" r:id="rId217" display="https://twitter.com/efitz_kiwi/status/1353441051168567301" xr:uid="{00000000-0004-0000-0000-0000D8000000}"/>
    <hyperlink ref="C232" r:id="rId218" display="https://twitter.com/efitz_kiwi/status/1353441051168567301" xr:uid="{00000000-0004-0000-0000-0000D9000000}"/>
    <hyperlink ref="C234" r:id="rId219" display="https://twitter.com/efitz_kiwi/status/1350535602962386944" xr:uid="{00000000-0004-0000-0000-0000DA000000}"/>
    <hyperlink ref="C236" r:id="rId220" display="https://twitter.com/efitz_kiwi/status/1350535602962386944" xr:uid="{00000000-0004-0000-0000-0000DB000000}"/>
    <hyperlink ref="C237" r:id="rId221" display="https://twitter.com/efitz_kiwi/status/1350535602962386944" xr:uid="{00000000-0004-0000-0000-0000DC000000}"/>
    <hyperlink ref="C238" r:id="rId222" display="https://twitter.com/efitz_kiwi/status/1350535602962386944" xr:uid="{00000000-0004-0000-0000-0000DD000000}"/>
    <hyperlink ref="C239" r:id="rId223" display="https://twitter.com/efitz_kiwi/status/1350535602962386944" xr:uid="{00000000-0004-0000-0000-0000DE000000}"/>
    <hyperlink ref="C240" r:id="rId224" display="https://twitter.com/efitz_kiwi/status/1350535602962386944" xr:uid="{00000000-0004-0000-0000-0000DF000000}"/>
    <hyperlink ref="C241" r:id="rId225" display="https://twitter.com/efitz_kiwi/status/1350535602962386944" xr:uid="{00000000-0004-0000-0000-0000E0000000}"/>
    <hyperlink ref="C242" r:id="rId226" display="https://twitter.com/efitz_kiwi/status/1350535602962386944" xr:uid="{00000000-0004-0000-0000-0000E1000000}"/>
    <hyperlink ref="C243" r:id="rId227" display="https://twitter.com/efitz_kiwi/status/1350535602962386944" xr:uid="{00000000-0004-0000-0000-0000E2000000}"/>
    <hyperlink ref="C244" r:id="rId228" display="https://twitter.com/efitz_kiwi/status/1350535602962386944" xr:uid="{00000000-0004-0000-0000-0000E3000000}"/>
    <hyperlink ref="C245" r:id="rId229" display="https://twitter.com/efitz_kiwi/status/1350535602962386944" xr:uid="{00000000-0004-0000-0000-0000E4000000}"/>
    <hyperlink ref="C246" r:id="rId230" display="https://twitter.com/efitz_kiwi/status/1350535602962386944" xr:uid="{00000000-0004-0000-0000-0000E5000000}"/>
    <hyperlink ref="C247" r:id="rId231" display="https://twitter.com/efitz_kiwi/status/1348366810698174466" xr:uid="{00000000-0004-0000-0000-0000E6000000}"/>
    <hyperlink ref="C248" r:id="rId232" display="https://twitter.com/efitz_kiwi/status/1348366810698174466" xr:uid="{00000000-0004-0000-0000-0000E7000000}"/>
    <hyperlink ref="C249" r:id="rId233" display="https://twitter.com/efitz_kiwi/status/1348366810698174466" xr:uid="{00000000-0004-0000-0000-0000E8000000}"/>
    <hyperlink ref="C250" r:id="rId234" display="https://twitter.com/efitz_kiwi/status/1348366810698174466" xr:uid="{00000000-0004-0000-0000-0000E9000000}"/>
    <hyperlink ref="C251" r:id="rId235" display="https://twitter.com/efitz_kiwi/status/1348366810698174466" xr:uid="{00000000-0004-0000-0000-0000EA000000}"/>
    <hyperlink ref="C252" r:id="rId236" display="https://twitter.com/efitz_kiwi/status/1348366810698174466" xr:uid="{00000000-0004-0000-0000-0000EB000000}"/>
    <hyperlink ref="C253" r:id="rId237" display="https://twitter.com/efitz_kiwi/status/1348366810698174466" xr:uid="{00000000-0004-0000-0000-0000EC000000}"/>
    <hyperlink ref="C254" r:id="rId238" display="https://twitter.com/efitz_kiwi/status/1348366810698174466" xr:uid="{00000000-0004-0000-0000-0000ED000000}"/>
    <hyperlink ref="C255" r:id="rId239" display="https://twitter.com/efitz_kiwi/status/1348366810698174466" xr:uid="{00000000-0004-0000-0000-0000EE000000}"/>
    <hyperlink ref="C256" r:id="rId240" display="https://twitter.com/efitz_kiwi/status/1348366810698174466" xr:uid="{00000000-0004-0000-0000-0000EF000000}"/>
    <hyperlink ref="C257" r:id="rId241" display="https://twitter.com/efitz_kiwi/status/1347988013725470720" xr:uid="{00000000-0004-0000-0000-0000F0000000}"/>
    <hyperlink ref="C258" r:id="rId242" display="https://twitter.com/efitz_kiwi/status/1345877236432437250" xr:uid="{00000000-0004-0000-0000-0000F1000000}"/>
    <hyperlink ref="C260" r:id="rId243" display="https://twitter.com/efitz_kiwi/status/1345877236432437250" xr:uid="{00000000-0004-0000-0000-0000F2000000}"/>
    <hyperlink ref="C261" r:id="rId244" display="https://twitter.com/efitz_kiwi/status/1345877236432437250" xr:uid="{00000000-0004-0000-0000-0000F3000000}"/>
    <hyperlink ref="C263" r:id="rId245" display="https://twitter.com/efitz_kiwi/status/1345877236432437250" xr:uid="{00000000-0004-0000-0000-0000F4000000}"/>
    <hyperlink ref="C264" r:id="rId246" display="https://twitter.com/efitz_kiwi/status/1345877236432437250" xr:uid="{00000000-0004-0000-0000-0000F5000000}"/>
    <hyperlink ref="C265" r:id="rId247" display="https://twitter.com/efitz_kiwi/status/1345877236432437250" xr:uid="{00000000-0004-0000-0000-0000F6000000}"/>
    <hyperlink ref="C266" r:id="rId248" display="https://twitter.com/efitz_kiwi/status/1345877236432437250" xr:uid="{00000000-0004-0000-0000-0000F7000000}"/>
    <hyperlink ref="C267" r:id="rId249" display="https://twitter.com/efitz_kiwi/status/1345877236432437250" xr:uid="{00000000-0004-0000-0000-0000F8000000}"/>
    <hyperlink ref="C268" r:id="rId250" display="https://twitter.com/efitz_kiwi/status/1345877236432437250" xr:uid="{00000000-0004-0000-0000-0000F9000000}"/>
    <hyperlink ref="C269" r:id="rId251" display="https://twitter.com/efitz_kiwi/status/1345877236432437250" xr:uid="{00000000-0004-0000-0000-0000FA000000}"/>
    <hyperlink ref="C270" r:id="rId252" display="https://twitter.com/efitz_kiwi/status/1345877236432437250" xr:uid="{00000000-0004-0000-0000-0000FB000000}"/>
    <hyperlink ref="C271" r:id="rId253" display="https://twitter.com/efitz_kiwi/status/1345877236432437250" xr:uid="{00000000-0004-0000-0000-0000FC000000}"/>
    <hyperlink ref="C273" r:id="rId254" display="https://twitter.com/efitz_kiwi/status/1343570242149224452" xr:uid="{00000000-0004-0000-0000-0000FD000000}"/>
    <hyperlink ref="C274" r:id="rId255" display="https://twitter.com/efitz_kiwi/status/1343570242149224452" xr:uid="{00000000-0004-0000-0000-0000FE000000}"/>
    <hyperlink ref="C275" r:id="rId256" display="https://twitter.com/efitz_kiwi/status/1343570242149224452" xr:uid="{00000000-0004-0000-0000-0000FF000000}"/>
    <hyperlink ref="C276" r:id="rId257" display="https://twitter.com/efitz_kiwi/status/1343570242149224452" xr:uid="{00000000-0004-0000-0000-000000010000}"/>
    <hyperlink ref="C277" r:id="rId258" display="https://twitter.com/efitz_kiwi/status/1343570242149224452" xr:uid="{00000000-0004-0000-0000-000001010000}"/>
    <hyperlink ref="C278" r:id="rId259" display="https://twitter.com/efitz_kiwi/status/1343570242149224452" xr:uid="{00000000-0004-0000-0000-000002010000}"/>
    <hyperlink ref="C279" r:id="rId260" display="https://twitter.com/efitz_kiwi/status/1343570242149224452" xr:uid="{00000000-0004-0000-0000-000003010000}"/>
    <hyperlink ref="C280" r:id="rId261" display="https://twitter.com/efitz_kiwi/status/1343570242149224452" xr:uid="{00000000-0004-0000-0000-000004010000}"/>
    <hyperlink ref="C281" r:id="rId262" display="https://twitter.com/efitz_kiwi/status/1343570242149224452" xr:uid="{00000000-0004-0000-0000-000005010000}"/>
    <hyperlink ref="C282" r:id="rId263" display="https://twitter.com/efitz_kiwi/status/1341572364337893376" xr:uid="{00000000-0004-0000-0000-000006010000}"/>
    <hyperlink ref="C283" r:id="rId264" display="https://twitter.com/efitz_kiwi/status/1340775536621174790" xr:uid="{00000000-0004-0000-0000-000007010000}"/>
    <hyperlink ref="C284" r:id="rId265" display="https://twitter.com/efitz_kiwi/status/1340775536621174790" xr:uid="{00000000-0004-0000-0000-000008010000}"/>
    <hyperlink ref="C285" r:id="rId266" display="https://twitter.com/efitz_kiwi/status/1340775536621174790" xr:uid="{00000000-0004-0000-0000-000009010000}"/>
    <hyperlink ref="C286" r:id="rId267" display="https://twitter.com/efitz_kiwi/status/1340775536621174790" xr:uid="{00000000-0004-0000-0000-00000A010000}"/>
    <hyperlink ref="C287" r:id="rId268" display="https://twitter.com/efitz_kiwi/status/1340775536621174790" xr:uid="{00000000-0004-0000-0000-00000B010000}"/>
    <hyperlink ref="C288" r:id="rId269" display="https://twitter.com/efitz_kiwi/status/1340775536621174790" xr:uid="{00000000-0004-0000-0000-00000C010000}"/>
    <hyperlink ref="C289" r:id="rId270" display="https://twitter.com/efitz_kiwi/status/1340775536621174790" xr:uid="{00000000-0004-0000-0000-00000D010000}"/>
    <hyperlink ref="C290" r:id="rId271" display="https://twitter.com/efitz_kiwi/status/1340775536621174790" xr:uid="{00000000-0004-0000-0000-00000E010000}"/>
    <hyperlink ref="C292" r:id="rId272" display="https://twitter.com/efitz_kiwi/status/1338317751258144769" xr:uid="{00000000-0004-0000-0000-00000F010000}"/>
    <hyperlink ref="C293" r:id="rId273" display="https://twitter.com/efitz_kiwi/status/1332386088057524225" xr:uid="{00000000-0004-0000-0000-000010010000}"/>
    <hyperlink ref="C294" r:id="rId274" display="https://twitter.com/efitz_kiwi/status/1332386088057524225" xr:uid="{00000000-0004-0000-0000-000011010000}"/>
    <hyperlink ref="C295" r:id="rId275" display="https://twitter.com/efitz_kiwi/status/1332386088057524225" xr:uid="{00000000-0004-0000-0000-000012010000}"/>
    <hyperlink ref="C296" r:id="rId276" display="https://twitter.com/efitz_kiwi/status/1327316690980511746" xr:uid="{00000000-0004-0000-0000-000013010000}"/>
    <hyperlink ref="C297" r:id="rId277" display="https://twitter.com/efitz_kiwi/status/1323659766674169856" xr:uid="{00000000-0004-0000-0000-000014010000}"/>
    <hyperlink ref="C298" r:id="rId278" display="https://twitter.com/efitz_kiwi/status/1321486488941531136" xr:uid="{00000000-0004-0000-0000-000015010000}"/>
    <hyperlink ref="C299" r:id="rId279" display="https://twitter.com/efitz_kiwi/status/1320901065882193922" xr:uid="{00000000-0004-0000-0000-000016010000}"/>
    <hyperlink ref="C300" r:id="rId280" display="https://twitter.com/efitz_kiwi/status/1320891068158717953" xr:uid="{00000000-0004-0000-0000-000017010000}"/>
    <hyperlink ref="C301" r:id="rId281" display="https://twitter.com/efitz_kiwi/status/1320893581486411776" xr:uid="{00000000-0004-0000-0000-000018010000}"/>
    <hyperlink ref="C302" r:id="rId282" display="https://twitter.com/efitz_kiwi/status/1316417855005523968" xr:uid="{00000000-0004-0000-0000-000019010000}"/>
    <hyperlink ref="C304" r:id="rId283" display="https://twitter.com/efitz_kiwi/status/1315814210459312130" xr:uid="{00000000-0004-0000-0000-00001A010000}"/>
    <hyperlink ref="C305" r:id="rId284" display="https://twitter.com/efitz_kiwi/status/1315805462844104704" xr:uid="{00000000-0004-0000-0000-00001B010000}"/>
    <hyperlink ref="C306" r:id="rId285" display="https://twitter.com/efitz_kiwi/status/1314592050550124544" xr:uid="{00000000-0004-0000-0000-00001C010000}"/>
    <hyperlink ref="C307" r:id="rId286" display="https://twitter.com/efitz_kiwi/status/1313820880913522688" xr:uid="{00000000-0004-0000-0000-00001D010000}"/>
    <hyperlink ref="C308" r:id="rId287" display="https://twitter.com/efitz_kiwi/status/1313174835485442051" xr:uid="{00000000-0004-0000-0000-00001E010000}"/>
    <hyperlink ref="C309" r:id="rId288" display="https://twitter.com/efitz_kiwi/status/1310958102406193152" xr:uid="{00000000-0004-0000-0000-00001F010000}"/>
    <hyperlink ref="C310" r:id="rId289" display="https://twitter.com/efitz_kiwi/status/1294424305535787008" xr:uid="{00000000-0004-0000-0000-000020010000}"/>
    <hyperlink ref="C311" r:id="rId290" display="https://twitter.com/efitz_kiwi/status/1294424305535787008" xr:uid="{00000000-0004-0000-0000-000021010000}"/>
    <hyperlink ref="C312" r:id="rId291" display="https://twitter.com/efitz_kiwi/status/1294424305535787008" xr:uid="{00000000-0004-0000-0000-000022010000}"/>
    <hyperlink ref="C313" r:id="rId292" display="https://twitter.com/efitz_kiwi/status/1294424305535787008" xr:uid="{00000000-0004-0000-0000-000023010000}"/>
    <hyperlink ref="C314" r:id="rId293" display="https://twitter.com/efitz_kiwi/status/1294424305535787008" xr:uid="{00000000-0004-0000-0000-000024010000}"/>
    <hyperlink ref="C315" r:id="rId294" display="https://twitter.com/efitz_kiwi/status/1294424305535787008" xr:uid="{00000000-0004-0000-0000-000025010000}"/>
    <hyperlink ref="C316" r:id="rId295" display="https://twitter.com/efitz_kiwi/status/1294424305535787008" xr:uid="{00000000-0004-0000-0000-000026010000}"/>
    <hyperlink ref="C317" r:id="rId296" display="https://twitter.com/efitz_kiwi/status/1294424305535787008" xr:uid="{00000000-0004-0000-0000-000027010000}"/>
    <hyperlink ref="A318" r:id="rId297" display="https://twitter.com/RadioSilentplay/status/1315667556133490697" xr:uid="{00000000-0004-0000-0000-000028010000}"/>
    <hyperlink ref="C318" r:id="rId298" xr:uid="{00000000-0004-0000-0000-000029010000}"/>
  </hyperlinks>
  <pageMargins left="0.7" right="0.7" top="0.75" bottom="0.75" header="0.3" footer="0.3"/>
  <pageSetup paperSize="9" orientation="portrait" horizontalDpi="300" verticalDpi="300"/>
  <drawing r:id="rId299"/>
  <tableParts count="1">
    <tablePart r:id="rId30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196"/>
  <sheetViews>
    <sheetView tabSelected="1" zoomScaleNormal="85" workbookViewId="0">
      <selection activeCell="L20" sqref="L20"/>
    </sheetView>
  </sheetViews>
  <sheetFormatPr defaultColWidth="8.85546875" defaultRowHeight="15" x14ac:dyDescent="0.25"/>
  <cols>
    <col min="1" max="1" width="46.5703125" style="342" customWidth="1"/>
    <col min="2" max="2" width="14.42578125" style="342" customWidth="1"/>
    <col min="3" max="3" width="14" style="342" customWidth="1"/>
    <col min="4" max="4" width="8.85546875" style="342" customWidth="1"/>
    <col min="5" max="5" width="26" style="342" customWidth="1"/>
    <col min="6" max="6" width="10.28515625" style="342" customWidth="1"/>
    <col min="7" max="7" width="11.42578125" style="342" customWidth="1"/>
    <col min="8" max="8" width="28.140625" style="342" customWidth="1"/>
    <col min="9" max="9" width="34.28515625" style="342" customWidth="1"/>
    <col min="10" max="11" width="19" style="342" customWidth="1"/>
    <col min="12" max="12" width="29.28515625" style="342" customWidth="1"/>
    <col min="13" max="13" width="20.28515625" style="342" customWidth="1"/>
    <col min="14" max="14" width="14.7109375" style="342" customWidth="1"/>
    <col min="15" max="15" width="10.28515625" style="342" customWidth="1"/>
    <col min="16" max="16" width="8.85546875" style="342" customWidth="1"/>
    <col min="17" max="17" width="17.85546875" style="342" customWidth="1"/>
    <col min="18" max="19" width="8.85546875" style="342" customWidth="1"/>
    <col min="20" max="20" width="9.140625" style="342" customWidth="1"/>
    <col min="21" max="23" width="9.85546875" style="342" customWidth="1"/>
    <col min="24" max="31" width="8.85546875" style="342" customWidth="1"/>
    <col min="32" max="33" width="13" style="342" customWidth="1"/>
    <col min="34" max="34" width="12.140625" style="342" customWidth="1"/>
    <col min="35" max="35" width="13" style="342" customWidth="1"/>
    <col min="36" max="37" width="12.140625" style="342" customWidth="1"/>
    <col min="38" max="38" width="11.140625" style="342" customWidth="1"/>
    <col min="39" max="39" width="18.42578125" style="342" customWidth="1"/>
    <col min="40" max="40" width="17.42578125" style="342" customWidth="1"/>
    <col min="41" max="41" width="18.42578125" style="342" customWidth="1"/>
    <col min="42" max="43" width="17.42578125" style="342" customWidth="1"/>
    <col min="44" max="44" width="16.42578125" style="342" customWidth="1"/>
    <col min="45" max="45" width="17.42578125" style="342" customWidth="1"/>
    <col min="46" max="46" width="18.42578125" style="342" customWidth="1"/>
    <col min="47" max="48" width="17.42578125" style="342" customWidth="1"/>
    <col min="49" max="49" width="16.42578125" style="342" customWidth="1"/>
    <col min="50" max="52" width="17.42578125" style="342" customWidth="1"/>
    <col min="53" max="55" width="16.42578125" style="342" customWidth="1"/>
    <col min="56" max="56" width="15.42578125" style="342" customWidth="1"/>
    <col min="57" max="57" width="16.42578125" style="342" customWidth="1"/>
    <col min="58" max="59" width="15.42578125" style="342" customWidth="1"/>
    <col min="60" max="60" width="8.85546875" style="342" customWidth="1"/>
    <col min="61" max="61" width="14.7109375" style="342" customWidth="1"/>
    <col min="62" max="62" width="13.7109375" style="342" customWidth="1"/>
    <col min="63" max="63" width="9" style="342" customWidth="1"/>
    <col min="64" max="64" width="14.140625" style="342" customWidth="1"/>
    <col min="65" max="65" width="17.28515625" style="342" customWidth="1"/>
    <col min="66" max="66" width="9.140625" style="342" customWidth="1"/>
    <col min="67" max="68" width="14.7109375" style="342" customWidth="1"/>
    <col min="69" max="70" width="18.5703125" style="342" customWidth="1"/>
    <col min="71" max="71" width="19.42578125" style="342" customWidth="1"/>
    <col min="72" max="72" width="19.85546875" style="342" customWidth="1"/>
    <col min="73" max="73" width="19.5703125" style="342" customWidth="1"/>
    <col min="74" max="74" width="19.85546875" style="342" customWidth="1"/>
    <col min="75" max="75" width="19.5703125" style="342" customWidth="1"/>
    <col min="76" max="76" width="13.28515625" style="342" customWidth="1"/>
    <col min="77" max="77" width="13" style="342" customWidth="1"/>
    <col min="78" max="78" width="14.7109375" style="342" customWidth="1"/>
    <col min="79" max="81" width="12.7109375" style="342" customWidth="1"/>
    <col min="82" max="82" width="11.85546875" style="342" customWidth="1"/>
    <col min="83" max="126" width="8.85546875" style="342" customWidth="1"/>
    <col min="127" max="16384" width="8.85546875" style="342"/>
  </cols>
  <sheetData>
    <row r="1" spans="1:97" ht="16.5" customHeight="1" thickTop="1" thickBot="1" x14ac:dyDescent="0.3">
      <c r="A1" s="16"/>
      <c r="B1" s="390" t="s">
        <v>699</v>
      </c>
      <c r="C1" s="391"/>
      <c r="D1" s="355"/>
      <c r="E1" s="355"/>
      <c r="F1" s="355"/>
      <c r="G1" s="356"/>
      <c r="H1" s="17"/>
      <c r="I1" s="376" t="s">
        <v>2</v>
      </c>
      <c r="J1" s="371"/>
      <c r="K1" s="377" t="s">
        <v>3</v>
      </c>
      <c r="L1" s="371"/>
      <c r="M1" s="54"/>
      <c r="N1" s="392" t="s">
        <v>4</v>
      </c>
      <c r="O1" s="371"/>
      <c r="P1" s="381" t="s">
        <v>5</v>
      </c>
      <c r="Q1" s="369"/>
      <c r="R1" s="354" t="s">
        <v>8</v>
      </c>
      <c r="S1" s="355"/>
      <c r="T1" s="355"/>
      <c r="U1" s="356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spans="1:97" ht="20.25" customHeight="1" thickBot="1" x14ac:dyDescent="0.3">
      <c r="A2" s="18" t="s">
        <v>700</v>
      </c>
      <c r="B2" s="369"/>
      <c r="C2" s="387" t="s">
        <v>701</v>
      </c>
      <c r="D2" s="388"/>
      <c r="E2" s="388"/>
      <c r="F2" s="388"/>
      <c r="G2" s="369"/>
      <c r="H2" s="19"/>
      <c r="I2" s="370">
        <f>COUNTIF(L:L, "&gt;10%")/COUNTA(L:L)</f>
        <v>0.47395833333333331</v>
      </c>
      <c r="J2" s="371"/>
      <c r="K2" s="372">
        <f>COUNTIF(L:L, "&gt;50%")/COUNTA(L:L)</f>
        <v>8.3333333333333329E-2</v>
      </c>
      <c r="L2" s="371"/>
      <c r="M2" s="54"/>
      <c r="N2" s="389">
        <f>MAX(Table3[Gain/Loss if sold at top since call(%)])</f>
        <v>9.5172413793103452</v>
      </c>
      <c r="O2" s="371"/>
      <c r="P2" s="389">
        <f>MAX(Table3[Gain/Loss present(%)])</f>
        <v>5.5948275862068977</v>
      </c>
      <c r="Q2" s="371"/>
      <c r="R2" s="363"/>
      <c r="S2" s="364"/>
      <c r="T2" s="364"/>
      <c r="U2" s="365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</row>
    <row r="3" spans="1:97" ht="16.5" customHeight="1" thickTop="1" thickBot="1" x14ac:dyDescent="0.3">
      <c r="A3" s="7" t="s">
        <v>11</v>
      </c>
      <c r="B3" s="369"/>
      <c r="C3" s="393" t="s">
        <v>702</v>
      </c>
      <c r="D3" s="379"/>
      <c r="E3" s="379"/>
      <c r="F3" s="379"/>
      <c r="G3" s="380"/>
      <c r="H3" s="19"/>
      <c r="I3" s="376" t="s">
        <v>13</v>
      </c>
      <c r="J3" s="371"/>
      <c r="K3" s="377" t="s">
        <v>14</v>
      </c>
      <c r="L3" s="371"/>
      <c r="M3" s="54"/>
      <c r="N3" s="392"/>
      <c r="O3" s="371"/>
      <c r="P3" s="381" t="s">
        <v>15</v>
      </c>
      <c r="Q3" s="369"/>
      <c r="R3" s="354" t="s">
        <v>18</v>
      </c>
      <c r="S3" s="355"/>
      <c r="T3" s="355"/>
      <c r="U3" s="356"/>
      <c r="X3" s="342" t="s">
        <v>19</v>
      </c>
      <c r="Y3" s="342" t="s">
        <v>20</v>
      </c>
      <c r="Z3" s="54" t="s">
        <v>21</v>
      </c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K3" s="342" t="s">
        <v>703</v>
      </c>
      <c r="BL3" s="342" t="s">
        <v>23</v>
      </c>
    </row>
    <row r="4" spans="1:97" ht="15.75" customHeight="1" thickBot="1" x14ac:dyDescent="0.3">
      <c r="A4" s="11"/>
      <c r="B4" s="369"/>
      <c r="C4" s="382" t="s">
        <v>704</v>
      </c>
      <c r="D4" s="383"/>
      <c r="E4" s="383"/>
      <c r="F4" s="383"/>
      <c r="G4" s="384"/>
      <c r="H4" s="20"/>
      <c r="I4" s="360">
        <f>COUNTIF(L:L, "&gt;5%")/COUNTA(L:L)</f>
        <v>0.66666666666666663</v>
      </c>
      <c r="J4" s="361"/>
      <c r="K4" s="362">
        <f>COUNTIF(L:L, "&gt;100%")/COUNTA(L:L)</f>
        <v>4.6875E-2</v>
      </c>
      <c r="L4" s="361"/>
      <c r="M4" s="21"/>
      <c r="N4" s="385"/>
      <c r="O4" s="361"/>
      <c r="P4" s="386">
        <f>COUNTA(Table3[Gain/Loss if sold at top since call(%)])-1</f>
        <v>190</v>
      </c>
      <c r="Q4" s="365"/>
      <c r="R4" s="363"/>
      <c r="S4" s="364"/>
      <c r="T4" s="364"/>
      <c r="U4" s="365"/>
      <c r="Z4" s="54"/>
      <c r="AA4" s="54"/>
      <c r="AB4" s="54"/>
      <c r="AC4" s="54"/>
      <c r="AD4" s="54"/>
      <c r="AE4" s="54"/>
    </row>
    <row r="5" spans="1:97" ht="16.5" customHeight="1" thickTop="1" thickBot="1" x14ac:dyDescent="0.3">
      <c r="A5" s="14" t="s">
        <v>705</v>
      </c>
      <c r="B5" s="12" t="s">
        <v>27</v>
      </c>
      <c r="C5" s="12" t="s">
        <v>706</v>
      </c>
      <c r="D5" s="12" t="s">
        <v>29</v>
      </c>
      <c r="E5" s="12" t="s">
        <v>707</v>
      </c>
      <c r="F5" s="13" t="s">
        <v>31</v>
      </c>
      <c r="G5" s="12" t="s">
        <v>708</v>
      </c>
      <c r="H5" s="10" t="s">
        <v>33</v>
      </c>
      <c r="I5" s="10" t="s">
        <v>34</v>
      </c>
      <c r="J5" s="3" t="s">
        <v>35</v>
      </c>
      <c r="K5" s="8" t="s">
        <v>36</v>
      </c>
      <c r="L5" s="8" t="s">
        <v>37</v>
      </c>
      <c r="M5" s="8" t="s">
        <v>38</v>
      </c>
      <c r="N5" s="8" t="s">
        <v>39</v>
      </c>
      <c r="O5" s="8" t="s">
        <v>40</v>
      </c>
      <c r="P5" s="8" t="s">
        <v>41</v>
      </c>
      <c r="Q5" s="8" t="s">
        <v>42</v>
      </c>
      <c r="R5" s="8" t="s">
        <v>43</v>
      </c>
      <c r="S5" s="8" t="s">
        <v>44</v>
      </c>
      <c r="T5" s="8" t="s">
        <v>45</v>
      </c>
      <c r="U5" s="2" t="s">
        <v>709</v>
      </c>
      <c r="V5" s="2" t="s">
        <v>47</v>
      </c>
      <c r="W5" s="2" t="s">
        <v>48</v>
      </c>
      <c r="X5" s="2" t="s">
        <v>49</v>
      </c>
      <c r="Y5" t="s">
        <v>50</v>
      </c>
      <c r="Z5" t="s">
        <v>51</v>
      </c>
      <c r="AA5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2" t="s">
        <v>58</v>
      </c>
      <c r="AH5" s="2" t="s">
        <v>59</v>
      </c>
      <c r="AI5" s="2" t="s">
        <v>60</v>
      </c>
      <c r="AJ5" s="2" t="s">
        <v>61</v>
      </c>
      <c r="AK5" s="2" t="s">
        <v>62</v>
      </c>
      <c r="AL5" s="2" t="s">
        <v>63</v>
      </c>
      <c r="AM5" s="2" t="s">
        <v>64</v>
      </c>
      <c r="AN5" s="2" t="s">
        <v>65</v>
      </c>
      <c r="AO5" s="2" t="s">
        <v>66</v>
      </c>
      <c r="AP5" s="2" t="s">
        <v>67</v>
      </c>
      <c r="AQ5" s="2" t="s">
        <v>68</v>
      </c>
      <c r="AR5" s="2" t="s">
        <v>69</v>
      </c>
      <c r="AS5" s="2" t="s">
        <v>70</v>
      </c>
      <c r="AT5" s="2" t="s">
        <v>71</v>
      </c>
      <c r="AU5" s="2" t="s">
        <v>72</v>
      </c>
      <c r="AV5" s="2" t="s">
        <v>73</v>
      </c>
      <c r="AW5" s="2" t="s">
        <v>74</v>
      </c>
      <c r="AX5" s="2" t="s">
        <v>75</v>
      </c>
      <c r="AY5" s="2" t="s">
        <v>76</v>
      </c>
      <c r="AZ5" s="2" t="s">
        <v>77</v>
      </c>
      <c r="BA5" s="2" t="s">
        <v>78</v>
      </c>
      <c r="BB5" s="2" t="s">
        <v>79</v>
      </c>
      <c r="BC5" s="2" t="s">
        <v>80</v>
      </c>
      <c r="BD5" s="2" t="s">
        <v>81</v>
      </c>
      <c r="BE5" s="2" t="s">
        <v>82</v>
      </c>
      <c r="BF5" s="2" t="s">
        <v>83</v>
      </c>
      <c r="BG5" s="2" t="s">
        <v>84</v>
      </c>
      <c r="BH5" s="2" t="s">
        <v>85</v>
      </c>
      <c r="BI5" s="2" t="s">
        <v>86</v>
      </c>
      <c r="BJ5" s="2" t="s">
        <v>87</v>
      </c>
      <c r="BK5" s="2" t="s">
        <v>88</v>
      </c>
      <c r="BL5" s="2" t="s">
        <v>89</v>
      </c>
      <c r="BM5" s="2" t="s">
        <v>90</v>
      </c>
      <c r="BN5" s="2" t="s">
        <v>91</v>
      </c>
      <c r="BO5" s="2" t="s">
        <v>92</v>
      </c>
      <c r="BP5" s="2" t="s">
        <v>93</v>
      </c>
      <c r="BQ5" s="2" t="s">
        <v>94</v>
      </c>
      <c r="BR5" s="2" t="s">
        <v>710</v>
      </c>
      <c r="BS5" s="2" t="s">
        <v>711</v>
      </c>
      <c r="BT5" s="2" t="s">
        <v>97</v>
      </c>
      <c r="BU5" s="2" t="s">
        <v>98</v>
      </c>
      <c r="BV5" s="2" t="s">
        <v>99</v>
      </c>
      <c r="BW5" s="2" t="s">
        <v>100</v>
      </c>
      <c r="BX5" s="2" t="s">
        <v>101</v>
      </c>
      <c r="BY5" s="2" t="s">
        <v>102</v>
      </c>
      <c r="BZ5" s="2" t="s">
        <v>103</v>
      </c>
      <c r="CA5" s="2" t="s">
        <v>104</v>
      </c>
      <c r="CB5" s="2" t="s">
        <v>105</v>
      </c>
      <c r="CC5" s="2" t="s">
        <v>106</v>
      </c>
      <c r="CD5" s="2" t="s">
        <v>107</v>
      </c>
      <c r="CE5" s="22" t="s">
        <v>108</v>
      </c>
      <c r="CF5" s="22" t="s">
        <v>109</v>
      </c>
      <c r="CG5" s="22" t="s">
        <v>110</v>
      </c>
      <c r="CH5" s="22" t="s">
        <v>111</v>
      </c>
      <c r="CI5" s="22" t="s">
        <v>112</v>
      </c>
      <c r="CJ5" s="22" t="s">
        <v>113</v>
      </c>
      <c r="CK5" s="22" t="s">
        <v>114</v>
      </c>
      <c r="CL5" s="22" t="s">
        <v>115</v>
      </c>
      <c r="CM5" s="22" t="s">
        <v>116</v>
      </c>
      <c r="CN5" s="22" t="s">
        <v>117</v>
      </c>
      <c r="CO5" s="22" t="s">
        <v>118</v>
      </c>
      <c r="CP5" s="22" t="s">
        <v>119</v>
      </c>
      <c r="CQ5" s="22" t="s">
        <v>120</v>
      </c>
      <c r="CR5" s="22"/>
      <c r="CS5" s="22"/>
    </row>
    <row r="6" spans="1:97" ht="16.5" customHeight="1" thickTop="1" thickBot="1" x14ac:dyDescent="0.3">
      <c r="A6" s="325"/>
      <c r="B6" s="281" t="s">
        <v>128</v>
      </c>
      <c r="C6" s="326">
        <v>1</v>
      </c>
      <c r="D6" s="281" t="s">
        <v>712</v>
      </c>
      <c r="E6" s="282"/>
      <c r="F6" s="283">
        <v>5.8</v>
      </c>
      <c r="G6" s="284">
        <v>44434</v>
      </c>
      <c r="H6" s="351">
        <v>5.82</v>
      </c>
      <c r="I6" s="351">
        <v>6.06</v>
      </c>
      <c r="J6" s="352">
        <v>44435</v>
      </c>
      <c r="K6" s="286">
        <f t="shared" ref="K6:K37" si="0">IF(F6&lt;&gt;"", (H6/F6)-100%, "")</f>
        <v>3.4482758620690834E-3</v>
      </c>
      <c r="L6" s="286">
        <f t="shared" ref="L6:L37" si="1">IF(F6&lt;&gt;"", (I6/F6)-100%, "")</f>
        <v>4.482758620689653E-2</v>
      </c>
      <c r="M6" s="353">
        <v>44435</v>
      </c>
      <c r="N6" s="328"/>
      <c r="O6" s="329">
        <v>7486120</v>
      </c>
      <c r="P6" s="329">
        <v>6700000</v>
      </c>
      <c r="Q6" s="329">
        <v>1</v>
      </c>
      <c r="R6" s="328" t="s">
        <v>131</v>
      </c>
      <c r="S6" s="330" t="s">
        <v>148</v>
      </c>
      <c r="T6" s="328" t="s">
        <v>278</v>
      </c>
      <c r="U6" s="22">
        <v>80</v>
      </c>
      <c r="V6" s="22">
        <v>206087</v>
      </c>
      <c r="W6" s="22"/>
      <c r="X6" s="22"/>
      <c r="Y6" s="54"/>
      <c r="Z6" s="54"/>
      <c r="AA6" s="54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</row>
    <row r="7" spans="1:97" ht="15.75" customHeight="1" thickBot="1" x14ac:dyDescent="0.3">
      <c r="A7" s="325"/>
      <c r="B7" s="281" t="s">
        <v>128</v>
      </c>
      <c r="C7" s="326">
        <v>1</v>
      </c>
      <c r="D7" s="281" t="s">
        <v>713</v>
      </c>
      <c r="E7" s="282"/>
      <c r="F7" s="283">
        <v>5.52</v>
      </c>
      <c r="G7" s="284">
        <v>44434</v>
      </c>
      <c r="H7" s="351">
        <v>5.8</v>
      </c>
      <c r="I7" s="351">
        <v>6.23</v>
      </c>
      <c r="J7" s="352">
        <v>44435</v>
      </c>
      <c r="K7" s="286">
        <f t="shared" si="0"/>
        <v>5.0724637681159424E-2</v>
      </c>
      <c r="L7" s="286">
        <f t="shared" si="1"/>
        <v>0.12862318840579734</v>
      </c>
      <c r="M7" s="353">
        <v>44435</v>
      </c>
      <c r="N7" s="328"/>
      <c r="O7" s="329">
        <v>5157344</v>
      </c>
      <c r="P7" s="329">
        <v>3940000</v>
      </c>
      <c r="Q7" s="329">
        <v>1</v>
      </c>
      <c r="R7" s="328" t="s">
        <v>131</v>
      </c>
      <c r="S7" s="330" t="s">
        <v>473</v>
      </c>
      <c r="T7" s="328" t="s">
        <v>714</v>
      </c>
      <c r="U7" s="22">
        <v>52</v>
      </c>
      <c r="V7" s="22">
        <v>77857</v>
      </c>
      <c r="W7" s="22"/>
      <c r="X7" s="22"/>
      <c r="Y7" s="54"/>
      <c r="Z7" s="54"/>
      <c r="AA7" s="54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</row>
    <row r="8" spans="1:97" ht="15.75" customHeight="1" thickBot="1" x14ac:dyDescent="0.3">
      <c r="A8" s="325"/>
      <c r="B8" s="281" t="s">
        <v>128</v>
      </c>
      <c r="C8" s="326">
        <v>0</v>
      </c>
      <c r="D8" s="281" t="s">
        <v>715</v>
      </c>
      <c r="E8" s="282"/>
      <c r="F8" s="283">
        <v>10.5</v>
      </c>
      <c r="G8" s="284">
        <v>44433</v>
      </c>
      <c r="H8" s="351">
        <v>10.51</v>
      </c>
      <c r="I8" s="351">
        <v>10.63</v>
      </c>
      <c r="J8" s="352">
        <v>44435</v>
      </c>
      <c r="K8" s="286">
        <f t="shared" si="0"/>
        <v>9.5238095238103782E-4</v>
      </c>
      <c r="L8" s="286">
        <f t="shared" si="1"/>
        <v>1.2380952380952381E-2</v>
      </c>
      <c r="M8" s="353">
        <v>44435</v>
      </c>
      <c r="N8" s="328"/>
      <c r="O8" s="329">
        <v>210681731</v>
      </c>
      <c r="P8" s="329">
        <v>135900000</v>
      </c>
      <c r="Q8" s="329">
        <v>2</v>
      </c>
      <c r="R8" s="328" t="s">
        <v>131</v>
      </c>
      <c r="S8" s="330" t="s">
        <v>157</v>
      </c>
      <c r="T8" s="328" t="s">
        <v>542</v>
      </c>
      <c r="U8" s="22">
        <v>252</v>
      </c>
      <c r="V8" s="22">
        <v>2097884</v>
      </c>
      <c r="W8" s="22"/>
      <c r="X8" s="22"/>
      <c r="Y8" s="54"/>
      <c r="Z8" s="54"/>
      <c r="AA8" s="54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</row>
    <row r="9" spans="1:97" ht="15.75" customHeight="1" thickBot="1" x14ac:dyDescent="0.3">
      <c r="A9" s="325"/>
      <c r="B9" s="281" t="s">
        <v>128</v>
      </c>
      <c r="C9" s="326">
        <v>0</v>
      </c>
      <c r="D9" s="281" t="s">
        <v>716</v>
      </c>
      <c r="E9" s="335" t="s">
        <v>717</v>
      </c>
      <c r="F9" s="283">
        <v>17.100000000000001</v>
      </c>
      <c r="G9" s="284">
        <v>44432</v>
      </c>
      <c r="H9" s="351">
        <v>17.579999999999998</v>
      </c>
      <c r="I9" s="351">
        <v>18.3399</v>
      </c>
      <c r="J9" s="352">
        <v>44433</v>
      </c>
      <c r="K9" s="286">
        <f t="shared" si="0"/>
        <v>2.8070175438596356E-2</v>
      </c>
      <c r="L9" s="286">
        <f t="shared" si="1"/>
        <v>7.2508771929824523E-2</v>
      </c>
      <c r="M9" s="353">
        <v>44435</v>
      </c>
      <c r="N9" s="328"/>
      <c r="O9" s="329">
        <v>278703884</v>
      </c>
      <c r="P9" s="329">
        <v>190770000</v>
      </c>
      <c r="Q9" s="329">
        <v>1</v>
      </c>
      <c r="R9" s="328" t="s">
        <v>139</v>
      </c>
      <c r="S9" s="330" t="s">
        <v>148</v>
      </c>
      <c r="T9" s="328" t="s">
        <v>154</v>
      </c>
      <c r="U9" s="22">
        <v>184</v>
      </c>
      <c r="V9" s="22">
        <v>1030493</v>
      </c>
      <c r="W9" s="22"/>
      <c r="X9" s="22"/>
      <c r="Y9" s="54"/>
      <c r="Z9" s="54"/>
      <c r="AA9" s="54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</row>
    <row r="10" spans="1:97" ht="15.75" customHeight="1" thickBot="1" x14ac:dyDescent="0.3">
      <c r="A10" s="325"/>
      <c r="B10" s="281" t="s">
        <v>128</v>
      </c>
      <c r="C10" s="326">
        <v>1</v>
      </c>
      <c r="D10" s="281" t="s">
        <v>172</v>
      </c>
      <c r="E10" s="335" t="s">
        <v>718</v>
      </c>
      <c r="F10" s="283">
        <v>1.53</v>
      </c>
      <c r="G10" s="284">
        <v>44432</v>
      </c>
      <c r="H10" s="351">
        <v>1.64</v>
      </c>
      <c r="I10" s="351">
        <v>1.66</v>
      </c>
      <c r="J10" s="352">
        <v>44435</v>
      </c>
      <c r="K10" s="286">
        <f t="shared" si="0"/>
        <v>7.1895424836601274E-2</v>
      </c>
      <c r="L10" s="286">
        <f t="shared" si="1"/>
        <v>8.4967320261437829E-2</v>
      </c>
      <c r="M10" s="353">
        <v>44435</v>
      </c>
      <c r="N10" s="328"/>
      <c r="O10" s="329">
        <v>505055</v>
      </c>
      <c r="P10" s="329">
        <v>45240000</v>
      </c>
      <c r="Q10" s="329">
        <v>3</v>
      </c>
      <c r="R10" s="328" t="s">
        <v>169</v>
      </c>
      <c r="S10" s="330" t="s">
        <v>148</v>
      </c>
      <c r="T10" s="328" t="s">
        <v>154</v>
      </c>
      <c r="U10" s="22">
        <v>432</v>
      </c>
      <c r="V10" s="22">
        <v>438501</v>
      </c>
      <c r="W10" s="22"/>
      <c r="X10" s="22"/>
      <c r="Y10" s="54"/>
      <c r="Z10" s="54"/>
      <c r="AA10" s="54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</row>
    <row r="11" spans="1:97" ht="15.75" customHeight="1" thickBot="1" x14ac:dyDescent="0.3">
      <c r="A11" s="325"/>
      <c r="B11" s="281" t="s">
        <v>128</v>
      </c>
      <c r="C11" s="326">
        <v>0</v>
      </c>
      <c r="D11" s="281" t="s">
        <v>719</v>
      </c>
      <c r="E11" s="335" t="s">
        <v>720</v>
      </c>
      <c r="F11" s="283">
        <v>25.44</v>
      </c>
      <c r="G11" s="284">
        <v>44431</v>
      </c>
      <c r="H11" s="351">
        <v>26.05</v>
      </c>
      <c r="I11" s="351">
        <v>27.04</v>
      </c>
      <c r="J11" s="352">
        <v>44433</v>
      </c>
      <c r="K11" s="286">
        <f t="shared" si="0"/>
        <v>2.3977987421383684E-2</v>
      </c>
      <c r="L11" s="286">
        <f t="shared" si="1"/>
        <v>6.2893081761006275E-2</v>
      </c>
      <c r="M11" s="353">
        <v>44435</v>
      </c>
      <c r="N11" s="328"/>
      <c r="O11" s="329">
        <v>257260827</v>
      </c>
      <c r="P11" s="329">
        <v>192800000</v>
      </c>
      <c r="Q11" s="329">
        <v>2</v>
      </c>
      <c r="R11" s="328" t="s">
        <v>131</v>
      </c>
      <c r="S11" s="330" t="s">
        <v>148</v>
      </c>
      <c r="T11" s="328" t="s">
        <v>304</v>
      </c>
      <c r="U11" s="22">
        <v>2004</v>
      </c>
      <c r="V11" s="22">
        <v>10897706</v>
      </c>
      <c r="W11" s="22"/>
      <c r="X11" s="22"/>
      <c r="Y11" s="54"/>
      <c r="Z11" s="54"/>
      <c r="AA11" s="54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</row>
    <row r="12" spans="1:97" ht="15.75" customHeight="1" thickBot="1" x14ac:dyDescent="0.3">
      <c r="A12" s="325"/>
      <c r="B12" s="281" t="s">
        <v>128</v>
      </c>
      <c r="C12" s="326">
        <v>0</v>
      </c>
      <c r="D12" s="281" t="s">
        <v>721</v>
      </c>
      <c r="E12" s="335" t="s">
        <v>722</v>
      </c>
      <c r="F12" s="283">
        <v>2.2599999999999998</v>
      </c>
      <c r="G12" s="284">
        <v>44431</v>
      </c>
      <c r="H12" s="351">
        <v>2.6</v>
      </c>
      <c r="I12" s="351">
        <v>2.64</v>
      </c>
      <c r="J12" s="352">
        <v>44435</v>
      </c>
      <c r="K12" s="286">
        <f t="shared" si="0"/>
        <v>0.15044247787610643</v>
      </c>
      <c r="L12" s="286">
        <f t="shared" si="1"/>
        <v>0.16814159292035424</v>
      </c>
      <c r="M12" s="353">
        <v>44435</v>
      </c>
      <c r="N12" s="328"/>
      <c r="O12" s="329">
        <v>21225693</v>
      </c>
      <c r="P12" s="329">
        <v>16450000</v>
      </c>
      <c r="Q12" s="329">
        <v>4</v>
      </c>
      <c r="R12" s="328" t="s">
        <v>131</v>
      </c>
      <c r="S12" s="330" t="s">
        <v>265</v>
      </c>
      <c r="T12" s="328" t="s">
        <v>266</v>
      </c>
      <c r="U12" s="22">
        <v>192</v>
      </c>
      <c r="V12" s="22">
        <v>2458512</v>
      </c>
      <c r="W12" s="22"/>
      <c r="X12" s="22"/>
      <c r="Y12" s="54"/>
      <c r="Z12" s="54"/>
      <c r="AA12" s="54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</row>
    <row r="13" spans="1:97" ht="15.75" customHeight="1" thickBot="1" x14ac:dyDescent="0.3">
      <c r="A13" s="325"/>
      <c r="B13" s="281" t="s">
        <v>128</v>
      </c>
      <c r="C13" s="326">
        <v>4</v>
      </c>
      <c r="D13" s="281" t="s">
        <v>723</v>
      </c>
      <c r="E13" s="335" t="s">
        <v>724</v>
      </c>
      <c r="F13" s="283">
        <v>2.29</v>
      </c>
      <c r="G13" s="284">
        <v>44431</v>
      </c>
      <c r="H13" s="351">
        <v>2.2000000000000002</v>
      </c>
      <c r="I13" s="351">
        <v>2.4249999999999998</v>
      </c>
      <c r="J13" s="352">
        <v>44432</v>
      </c>
      <c r="K13" s="286">
        <f t="shared" si="0"/>
        <v>-3.9301310043668103E-2</v>
      </c>
      <c r="L13" s="286">
        <f t="shared" si="1"/>
        <v>5.8951965065502154E-2</v>
      </c>
      <c r="M13" s="353">
        <v>44435</v>
      </c>
      <c r="N13" s="328"/>
      <c r="O13" s="329">
        <v>13746593</v>
      </c>
      <c r="P13" s="329">
        <v>4520000</v>
      </c>
      <c r="Q13" s="329">
        <v>1</v>
      </c>
      <c r="R13" s="328" t="s">
        <v>131</v>
      </c>
      <c r="S13" s="330" t="s">
        <v>148</v>
      </c>
      <c r="T13" s="328" t="s">
        <v>154</v>
      </c>
      <c r="U13" s="22">
        <v>24</v>
      </c>
      <c r="V13" s="22">
        <v>407815</v>
      </c>
      <c r="W13" s="22"/>
      <c r="X13" s="22"/>
      <c r="Y13" s="54"/>
      <c r="Z13" s="54"/>
      <c r="AA13" s="54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</row>
    <row r="14" spans="1:97" ht="15.75" customHeight="1" thickBot="1" x14ac:dyDescent="0.3">
      <c r="A14" s="325"/>
      <c r="B14" s="281" t="s">
        <v>128</v>
      </c>
      <c r="C14" s="326">
        <v>1</v>
      </c>
      <c r="D14" s="281" t="s">
        <v>503</v>
      </c>
      <c r="E14" s="335" t="s">
        <v>725</v>
      </c>
      <c r="F14" s="283">
        <v>1.97</v>
      </c>
      <c r="G14" s="284">
        <v>44431</v>
      </c>
      <c r="H14" s="351">
        <v>2.14</v>
      </c>
      <c r="I14" s="285">
        <v>2.34</v>
      </c>
      <c r="J14" s="319">
        <v>44431</v>
      </c>
      <c r="K14" s="286">
        <f t="shared" si="0"/>
        <v>8.629441624365497E-2</v>
      </c>
      <c r="L14" s="286">
        <f t="shared" si="1"/>
        <v>0.18781725888324874</v>
      </c>
      <c r="M14" s="353">
        <v>44435</v>
      </c>
      <c r="N14" s="328"/>
      <c r="O14" s="329">
        <v>54949995</v>
      </c>
      <c r="P14" s="329">
        <v>10070000</v>
      </c>
      <c r="Q14" s="329"/>
      <c r="R14" s="328" t="s">
        <v>152</v>
      </c>
      <c r="S14" s="330" t="s">
        <v>148</v>
      </c>
      <c r="T14" s="328" t="s">
        <v>504</v>
      </c>
      <c r="U14" s="22">
        <v>16</v>
      </c>
      <c r="V14" s="22">
        <v>1563232</v>
      </c>
      <c r="W14" s="22"/>
      <c r="X14" s="22"/>
      <c r="Y14" s="54"/>
      <c r="Z14" s="54"/>
      <c r="AA14" s="54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</row>
    <row r="15" spans="1:97" ht="15.75" customHeight="1" thickBot="1" x14ac:dyDescent="0.3">
      <c r="A15" s="325"/>
      <c r="B15" s="281" t="s">
        <v>128</v>
      </c>
      <c r="C15" s="326">
        <v>1</v>
      </c>
      <c r="D15" s="281" t="s">
        <v>156</v>
      </c>
      <c r="E15" s="335" t="s">
        <v>726</v>
      </c>
      <c r="F15" s="283">
        <v>0.5</v>
      </c>
      <c r="G15" s="284">
        <v>44428</v>
      </c>
      <c r="H15" s="351">
        <v>0.5504</v>
      </c>
      <c r="I15" s="351">
        <v>0.57709999999999995</v>
      </c>
      <c r="J15" s="352">
        <v>44434</v>
      </c>
      <c r="K15" s="286">
        <f t="shared" si="0"/>
        <v>0.1008</v>
      </c>
      <c r="L15" s="286">
        <f t="shared" si="1"/>
        <v>0.15419999999999989</v>
      </c>
      <c r="M15" s="353">
        <v>44435</v>
      </c>
      <c r="N15" s="328"/>
      <c r="O15" s="329">
        <v>51362500</v>
      </c>
      <c r="P15" s="329">
        <v>9510000</v>
      </c>
      <c r="Q15" s="329">
        <v>6</v>
      </c>
      <c r="R15" s="328" t="s">
        <v>131</v>
      </c>
      <c r="S15" s="330" t="s">
        <v>157</v>
      </c>
      <c r="T15" s="328" t="s">
        <v>158</v>
      </c>
      <c r="U15" s="22">
        <v>196</v>
      </c>
      <c r="V15" s="22">
        <v>1134181</v>
      </c>
      <c r="W15" s="22"/>
      <c r="X15" s="22"/>
      <c r="Y15" s="54"/>
      <c r="Z15" s="54"/>
      <c r="AA15" s="54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</row>
    <row r="16" spans="1:97" ht="15.75" customHeight="1" thickBot="1" x14ac:dyDescent="0.3">
      <c r="A16" s="325"/>
      <c r="B16" s="281" t="s">
        <v>128</v>
      </c>
      <c r="C16" s="326">
        <v>0</v>
      </c>
      <c r="D16" s="281" t="s">
        <v>727</v>
      </c>
      <c r="E16" s="335" t="s">
        <v>728</v>
      </c>
      <c r="F16" s="283">
        <v>2.86</v>
      </c>
      <c r="G16" s="284">
        <v>44428</v>
      </c>
      <c r="H16" s="351">
        <v>2.91</v>
      </c>
      <c r="I16" s="351">
        <v>2.99</v>
      </c>
      <c r="J16" s="352">
        <v>44435</v>
      </c>
      <c r="K16" s="286">
        <f t="shared" si="0"/>
        <v>1.7482517482517501E-2</v>
      </c>
      <c r="L16" s="286">
        <f t="shared" si="1"/>
        <v>4.5454545454545636E-2</v>
      </c>
      <c r="M16" s="353">
        <v>44435</v>
      </c>
      <c r="N16" s="328"/>
      <c r="O16" s="329">
        <v>10975074</v>
      </c>
      <c r="P16" s="329">
        <v>6500000</v>
      </c>
      <c r="Q16" s="329">
        <v>7</v>
      </c>
      <c r="R16" s="328" t="s">
        <v>131</v>
      </c>
      <c r="S16" s="330" t="s">
        <v>192</v>
      </c>
      <c r="T16" s="328" t="s">
        <v>729</v>
      </c>
      <c r="U16" s="22">
        <v>344</v>
      </c>
      <c r="V16" s="22">
        <v>437529</v>
      </c>
      <c r="W16" s="22"/>
      <c r="X16" s="22"/>
      <c r="Y16" s="54"/>
      <c r="Z16" s="54"/>
      <c r="AA16" s="54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</row>
    <row r="17" spans="1:95" ht="15.75" customHeight="1" thickBot="1" x14ac:dyDescent="0.3">
      <c r="A17" s="325"/>
      <c r="B17" s="281" t="s">
        <v>128</v>
      </c>
      <c r="C17" s="326">
        <v>1</v>
      </c>
      <c r="D17" s="281" t="s">
        <v>629</v>
      </c>
      <c r="E17" s="335" t="s">
        <v>730</v>
      </c>
      <c r="F17" s="283">
        <v>1.45</v>
      </c>
      <c r="G17" s="284">
        <v>44428</v>
      </c>
      <c r="H17" s="351">
        <v>1.43</v>
      </c>
      <c r="I17" s="285">
        <v>1.45</v>
      </c>
      <c r="J17" s="352">
        <v>44428</v>
      </c>
      <c r="K17" s="286">
        <f t="shared" si="0"/>
        <v>-1.379310344827589E-2</v>
      </c>
      <c r="L17" s="286">
        <f t="shared" si="1"/>
        <v>0</v>
      </c>
      <c r="M17" s="353">
        <v>44435</v>
      </c>
      <c r="N17" s="328"/>
      <c r="O17" s="329">
        <v>38429617</v>
      </c>
      <c r="P17" s="329">
        <v>23740000</v>
      </c>
      <c r="Q17" s="329"/>
      <c r="R17" s="328" t="s">
        <v>152</v>
      </c>
      <c r="S17" s="330" t="s">
        <v>630</v>
      </c>
      <c r="T17" s="328" t="s">
        <v>631</v>
      </c>
      <c r="U17" s="22">
        <v>88</v>
      </c>
      <c r="V17" s="22">
        <v>459456</v>
      </c>
      <c r="W17" s="22"/>
      <c r="X17" s="22"/>
      <c r="Y17" s="54"/>
      <c r="Z17" s="54"/>
      <c r="AA17" s="54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</row>
    <row r="18" spans="1:95" ht="15.75" customHeight="1" thickBot="1" x14ac:dyDescent="0.3">
      <c r="A18" s="325"/>
      <c r="B18" s="281" t="s">
        <v>128</v>
      </c>
      <c r="C18" s="326">
        <v>1</v>
      </c>
      <c r="D18" s="281" t="s">
        <v>225</v>
      </c>
      <c r="E18" s="335" t="s">
        <v>731</v>
      </c>
      <c r="F18" s="283">
        <v>3.33</v>
      </c>
      <c r="G18" s="284">
        <v>44427</v>
      </c>
      <c r="H18" s="351">
        <v>3.67</v>
      </c>
      <c r="I18" s="351">
        <v>3.95</v>
      </c>
      <c r="J18" s="352">
        <v>44433</v>
      </c>
      <c r="K18" s="286">
        <f t="shared" si="0"/>
        <v>0.10210210210210202</v>
      </c>
      <c r="L18" s="286">
        <f t="shared" si="1"/>
        <v>0.18618618618618621</v>
      </c>
      <c r="M18" s="353">
        <v>44435</v>
      </c>
      <c r="N18" s="328"/>
      <c r="O18" s="329">
        <v>7274427</v>
      </c>
      <c r="P18" s="329">
        <v>3030000</v>
      </c>
      <c r="Q18" s="329">
        <v>6</v>
      </c>
      <c r="R18" s="328" t="s">
        <v>131</v>
      </c>
      <c r="S18" s="330" t="s">
        <v>135</v>
      </c>
      <c r="T18" s="328" t="s">
        <v>133</v>
      </c>
      <c r="U18" s="22">
        <v>188</v>
      </c>
      <c r="V18" s="22">
        <v>1717586</v>
      </c>
      <c r="W18" s="22"/>
      <c r="X18" s="22"/>
      <c r="Y18" s="54"/>
      <c r="Z18" s="54"/>
      <c r="AA18" s="54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</row>
    <row r="19" spans="1:95" ht="15.75" customHeight="1" thickBot="1" x14ac:dyDescent="0.3">
      <c r="A19" s="325" t="s">
        <v>732</v>
      </c>
      <c r="B19" s="281" t="s">
        <v>128</v>
      </c>
      <c r="C19" s="326">
        <v>3</v>
      </c>
      <c r="D19" s="281" t="s">
        <v>733</v>
      </c>
      <c r="E19" s="335" t="s">
        <v>734</v>
      </c>
      <c r="F19" s="283">
        <v>3.25</v>
      </c>
      <c r="G19" s="284">
        <v>44426</v>
      </c>
      <c r="H19" s="351">
        <v>5.28</v>
      </c>
      <c r="I19" s="351">
        <v>7.09</v>
      </c>
      <c r="J19" s="352">
        <v>44431</v>
      </c>
      <c r="K19" s="286">
        <f t="shared" si="0"/>
        <v>0.62461538461538479</v>
      </c>
      <c r="L19" s="286">
        <f t="shared" si="1"/>
        <v>1.1815384615384614</v>
      </c>
      <c r="M19" s="353">
        <v>44435</v>
      </c>
      <c r="N19" s="328"/>
      <c r="O19" s="329">
        <v>22812119</v>
      </c>
      <c r="P19" s="329">
        <v>17840000</v>
      </c>
      <c r="Q19" s="329">
        <v>5</v>
      </c>
      <c r="R19" s="328" t="s">
        <v>131</v>
      </c>
      <c r="S19" s="330" t="s">
        <v>148</v>
      </c>
      <c r="T19" s="328" t="s">
        <v>242</v>
      </c>
      <c r="U19" s="22">
        <v>596</v>
      </c>
      <c r="V19" s="22">
        <v>605540</v>
      </c>
      <c r="W19" s="22"/>
      <c r="X19" s="22"/>
      <c r="Y19" s="54"/>
      <c r="Z19" s="54"/>
      <c r="AA19" s="54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</row>
    <row r="20" spans="1:95" ht="15.75" customHeight="1" thickBot="1" x14ac:dyDescent="0.3">
      <c r="A20" s="325"/>
      <c r="B20" s="281" t="s">
        <v>128</v>
      </c>
      <c r="C20" s="326">
        <v>0</v>
      </c>
      <c r="D20" s="281" t="s">
        <v>735</v>
      </c>
      <c r="E20" s="335" t="s">
        <v>736</v>
      </c>
      <c r="F20" s="283">
        <v>3.94</v>
      </c>
      <c r="G20" s="284">
        <v>44426</v>
      </c>
      <c r="H20" s="351">
        <v>3.64</v>
      </c>
      <c r="I20" s="351">
        <v>4.13</v>
      </c>
      <c r="J20" s="352">
        <v>44433</v>
      </c>
      <c r="K20" s="286">
        <f t="shared" si="0"/>
        <v>-7.6142131979695438E-2</v>
      </c>
      <c r="L20" s="286">
        <f t="shared" si="1"/>
        <v>4.8223350253807196E-2</v>
      </c>
      <c r="M20" s="353">
        <v>44435</v>
      </c>
      <c r="N20" s="328"/>
      <c r="O20" s="329">
        <v>8856553</v>
      </c>
      <c r="P20" s="329">
        <v>2690000</v>
      </c>
      <c r="Q20" s="329">
        <v>7</v>
      </c>
      <c r="R20" s="328" t="s">
        <v>131</v>
      </c>
      <c r="S20" s="330" t="s">
        <v>281</v>
      </c>
      <c r="T20" s="328" t="s">
        <v>282</v>
      </c>
      <c r="U20" s="22">
        <v>32</v>
      </c>
      <c r="V20" s="22">
        <v>600200</v>
      </c>
      <c r="W20" s="22"/>
      <c r="X20" s="22"/>
      <c r="Y20" s="54"/>
      <c r="Z20" s="54"/>
      <c r="AA20" s="54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</row>
    <row r="21" spans="1:95" ht="15.75" customHeight="1" thickBot="1" x14ac:dyDescent="0.3">
      <c r="A21" s="325"/>
      <c r="B21" s="281" t="s">
        <v>128</v>
      </c>
      <c r="C21" s="326">
        <v>0</v>
      </c>
      <c r="D21" s="281" t="s">
        <v>737</v>
      </c>
      <c r="E21" s="282"/>
      <c r="F21" s="283">
        <v>4.05</v>
      </c>
      <c r="G21" s="284">
        <v>44419</v>
      </c>
      <c r="H21" s="351">
        <v>3.45</v>
      </c>
      <c r="I21" s="351">
        <v>4.1399999999999997</v>
      </c>
      <c r="J21" s="352">
        <v>44420</v>
      </c>
      <c r="K21" s="286">
        <f t="shared" si="0"/>
        <v>-0.14814814814814803</v>
      </c>
      <c r="L21" s="286">
        <f t="shared" si="1"/>
        <v>2.2222222222222143E-2</v>
      </c>
      <c r="M21" s="353">
        <v>44435</v>
      </c>
      <c r="N21" s="328"/>
      <c r="O21" s="329">
        <v>6843902</v>
      </c>
      <c r="P21" s="329">
        <v>5160000</v>
      </c>
      <c r="Q21" s="329">
        <v>1</v>
      </c>
      <c r="R21" s="328" t="s">
        <v>147</v>
      </c>
      <c r="S21" s="330" t="s">
        <v>148</v>
      </c>
      <c r="T21" s="328" t="s">
        <v>242</v>
      </c>
      <c r="U21" s="22">
        <v>324</v>
      </c>
      <c r="V21" s="22">
        <v>706401</v>
      </c>
      <c r="W21" s="22"/>
      <c r="X21" s="22"/>
      <c r="Y21" s="54"/>
      <c r="Z21" s="54"/>
      <c r="AA21" s="54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</row>
    <row r="22" spans="1:95" ht="15.75" customHeight="1" thickBot="1" x14ac:dyDescent="0.3">
      <c r="A22" s="325" t="s">
        <v>732</v>
      </c>
      <c r="B22" s="281" t="s">
        <v>128</v>
      </c>
      <c r="C22" s="326">
        <v>1</v>
      </c>
      <c r="D22" s="281" t="s">
        <v>738</v>
      </c>
      <c r="E22" s="282"/>
      <c r="F22" s="283">
        <v>5.46</v>
      </c>
      <c r="G22" s="284">
        <v>44419</v>
      </c>
      <c r="H22" s="351">
        <v>5.95</v>
      </c>
      <c r="I22" s="351">
        <v>6</v>
      </c>
      <c r="J22" s="352">
        <v>44435</v>
      </c>
      <c r="K22" s="286">
        <f t="shared" si="0"/>
        <v>8.9743589743589869E-2</v>
      </c>
      <c r="L22" s="286">
        <f t="shared" si="1"/>
        <v>9.8901098901098994E-2</v>
      </c>
      <c r="M22" s="353">
        <v>44435</v>
      </c>
      <c r="N22" s="328"/>
      <c r="O22" s="329">
        <v>37372476</v>
      </c>
      <c r="P22" s="329">
        <v>32410000</v>
      </c>
      <c r="Q22" s="329">
        <v>16</v>
      </c>
      <c r="R22" s="328" t="s">
        <v>131</v>
      </c>
      <c r="S22" s="330" t="s">
        <v>148</v>
      </c>
      <c r="T22" s="328" t="s">
        <v>154</v>
      </c>
      <c r="U22" s="22">
        <v>356</v>
      </c>
      <c r="V22" s="22">
        <v>238305</v>
      </c>
      <c r="W22" s="22"/>
      <c r="X22" s="22"/>
      <c r="Y22" s="54"/>
      <c r="Z22" s="54"/>
      <c r="AA22" s="54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</row>
    <row r="23" spans="1:95" ht="15.75" customHeight="1" thickBot="1" x14ac:dyDescent="0.3">
      <c r="A23" s="325" t="s">
        <v>732</v>
      </c>
      <c r="B23" s="281" t="s">
        <v>128</v>
      </c>
      <c r="C23" s="326">
        <v>0</v>
      </c>
      <c r="D23" s="281" t="s">
        <v>739</v>
      </c>
      <c r="E23" s="282"/>
      <c r="F23" s="283">
        <v>3.05</v>
      </c>
      <c r="G23" s="284">
        <v>44419</v>
      </c>
      <c r="H23" s="351">
        <v>2.58</v>
      </c>
      <c r="I23" s="285">
        <v>3.05</v>
      </c>
      <c r="J23" s="352">
        <v>44419</v>
      </c>
      <c r="K23" s="286">
        <f t="shared" si="0"/>
        <v>-0.15409836065573768</v>
      </c>
      <c r="L23" s="286">
        <f t="shared" si="1"/>
        <v>0</v>
      </c>
      <c r="M23" s="353">
        <v>44435</v>
      </c>
      <c r="N23" s="328"/>
      <c r="O23" s="329">
        <v>106387332</v>
      </c>
      <c r="P23" s="329">
        <v>101990000</v>
      </c>
      <c r="Q23" s="329"/>
      <c r="R23" s="328" t="s">
        <v>131</v>
      </c>
      <c r="S23" s="330" t="s">
        <v>192</v>
      </c>
      <c r="T23" s="328" t="s">
        <v>193</v>
      </c>
      <c r="U23" s="22">
        <v>276</v>
      </c>
      <c r="V23" s="22">
        <v>4479490</v>
      </c>
      <c r="W23" s="22"/>
      <c r="X23" s="22"/>
      <c r="Y23" s="54"/>
      <c r="Z23" s="54"/>
      <c r="AA23" s="54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</row>
    <row r="24" spans="1:95" ht="15.75" customHeight="1" thickBot="1" x14ac:dyDescent="0.3">
      <c r="A24" s="325" t="s">
        <v>732</v>
      </c>
      <c r="B24" s="281" t="s">
        <v>128</v>
      </c>
      <c r="C24" s="326">
        <v>1</v>
      </c>
      <c r="D24" s="281" t="s">
        <v>740</v>
      </c>
      <c r="E24" s="282"/>
      <c r="F24" s="283">
        <v>7.37</v>
      </c>
      <c r="G24" s="284">
        <v>44419</v>
      </c>
      <c r="H24" s="351">
        <v>6.45</v>
      </c>
      <c r="I24" s="351">
        <v>7.3799000000000001</v>
      </c>
      <c r="J24" s="352">
        <v>44421</v>
      </c>
      <c r="K24" s="286">
        <f t="shared" si="0"/>
        <v>-0.12483039348710989</v>
      </c>
      <c r="L24" s="286">
        <f t="shared" si="1"/>
        <v>1.3432835820894606E-3</v>
      </c>
      <c r="M24" s="353">
        <v>44435</v>
      </c>
      <c r="N24" s="328"/>
      <c r="O24" s="329">
        <v>5828205</v>
      </c>
      <c r="P24" s="329">
        <v>1170000</v>
      </c>
      <c r="Q24" s="329">
        <v>2</v>
      </c>
      <c r="R24" s="328" t="s">
        <v>211</v>
      </c>
      <c r="S24" s="330" t="s">
        <v>148</v>
      </c>
      <c r="T24" s="328" t="s">
        <v>599</v>
      </c>
      <c r="U24" s="22">
        <v>84</v>
      </c>
      <c r="V24" s="22">
        <v>14304</v>
      </c>
      <c r="W24" s="22"/>
      <c r="X24" s="22"/>
      <c r="Y24" s="54"/>
      <c r="Z24" s="54"/>
      <c r="AA24" s="54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</row>
    <row r="25" spans="1:95" ht="15.75" customHeight="1" thickBot="1" x14ac:dyDescent="0.3">
      <c r="A25" s="325" t="s">
        <v>732</v>
      </c>
      <c r="B25" s="281" t="s">
        <v>128</v>
      </c>
      <c r="C25" s="326">
        <v>0</v>
      </c>
      <c r="D25" s="281" t="s">
        <v>741</v>
      </c>
      <c r="E25" s="282"/>
      <c r="F25" s="283">
        <v>3.35</v>
      </c>
      <c r="G25" s="284">
        <v>44419</v>
      </c>
      <c r="H25" s="351">
        <v>2.97</v>
      </c>
      <c r="I25" s="351">
        <v>3.49</v>
      </c>
      <c r="J25" s="352">
        <v>44431</v>
      </c>
      <c r="K25" s="286">
        <f t="shared" si="0"/>
        <v>-0.11343283582089547</v>
      </c>
      <c r="L25" s="286">
        <f t="shared" si="1"/>
        <v>4.179104477611939E-2</v>
      </c>
      <c r="M25" s="353">
        <v>44435</v>
      </c>
      <c r="N25" s="328"/>
      <c r="O25" s="329">
        <v>24470526</v>
      </c>
      <c r="P25" s="329">
        <v>1810000</v>
      </c>
      <c r="Q25" s="329">
        <v>12</v>
      </c>
      <c r="R25" s="328" t="s">
        <v>131</v>
      </c>
      <c r="S25" s="330" t="s">
        <v>265</v>
      </c>
      <c r="T25" s="328" t="s">
        <v>154</v>
      </c>
      <c r="U25" s="22">
        <v>436</v>
      </c>
      <c r="V25" s="22">
        <v>5725618</v>
      </c>
      <c r="W25" s="22"/>
      <c r="X25" s="22"/>
      <c r="Y25" s="54"/>
      <c r="Z25" s="54"/>
      <c r="AA25" s="54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</row>
    <row r="26" spans="1:95" ht="15.75" customHeight="1" thickBot="1" x14ac:dyDescent="0.3">
      <c r="A26" s="325" t="s">
        <v>742</v>
      </c>
      <c r="B26" s="281" t="s">
        <v>128</v>
      </c>
      <c r="C26" s="326">
        <v>0</v>
      </c>
      <c r="D26" s="281" t="s">
        <v>743</v>
      </c>
      <c r="E26" s="282"/>
      <c r="F26" s="283">
        <v>4.3600000000000003</v>
      </c>
      <c r="G26" s="284">
        <v>44419</v>
      </c>
      <c r="H26" s="351">
        <v>4.3499999999999996</v>
      </c>
      <c r="I26" s="351">
        <v>4.57</v>
      </c>
      <c r="J26" s="352">
        <v>44432</v>
      </c>
      <c r="K26" s="286">
        <f t="shared" si="0"/>
        <v>-2.2935779816515289E-3</v>
      </c>
      <c r="L26" s="286">
        <f t="shared" si="1"/>
        <v>4.8165137614678777E-2</v>
      </c>
      <c r="M26" s="353">
        <v>44435</v>
      </c>
      <c r="N26" s="328"/>
      <c r="O26" s="329">
        <v>25261832</v>
      </c>
      <c r="P26" s="329">
        <v>22380000</v>
      </c>
      <c r="Q26" s="329">
        <v>13</v>
      </c>
      <c r="R26" s="328" t="s">
        <v>744</v>
      </c>
      <c r="S26" s="330" t="s">
        <v>148</v>
      </c>
      <c r="T26" s="328" t="s">
        <v>154</v>
      </c>
      <c r="U26" s="22">
        <v>124</v>
      </c>
      <c r="V26" s="22">
        <v>1264196</v>
      </c>
      <c r="W26" s="22"/>
      <c r="X26" s="22"/>
      <c r="Y26" s="54"/>
      <c r="Z26" s="54"/>
      <c r="AA26" s="54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</row>
    <row r="27" spans="1:95" ht="15.75" customHeight="1" thickBot="1" x14ac:dyDescent="0.3">
      <c r="A27" s="325" t="s">
        <v>745</v>
      </c>
      <c r="B27" s="281" t="s">
        <v>128</v>
      </c>
      <c r="C27" s="326">
        <v>0</v>
      </c>
      <c r="D27" s="281" t="s">
        <v>746</v>
      </c>
      <c r="E27" s="282"/>
      <c r="F27" s="283">
        <v>7.79</v>
      </c>
      <c r="G27" s="284">
        <v>44419</v>
      </c>
      <c r="H27" s="351">
        <v>6.95</v>
      </c>
      <c r="I27" s="285">
        <v>7.79</v>
      </c>
      <c r="J27" s="352">
        <v>44419</v>
      </c>
      <c r="K27" s="286">
        <f t="shared" si="0"/>
        <v>-0.10783055198973035</v>
      </c>
      <c r="L27" s="286">
        <f t="shared" si="1"/>
        <v>0</v>
      </c>
      <c r="M27" s="353">
        <v>44435</v>
      </c>
      <c r="N27" s="328"/>
      <c r="O27" s="329">
        <v>69748407</v>
      </c>
      <c r="P27" s="329">
        <v>35600000</v>
      </c>
      <c r="Q27" s="329"/>
      <c r="R27" s="328" t="s">
        <v>131</v>
      </c>
      <c r="S27" s="330" t="s">
        <v>148</v>
      </c>
      <c r="T27" s="328" t="s">
        <v>747</v>
      </c>
      <c r="U27" s="22">
        <v>2004</v>
      </c>
      <c r="V27" s="22">
        <v>577021</v>
      </c>
      <c r="W27" s="22"/>
      <c r="X27" s="22"/>
      <c r="Y27" s="54"/>
      <c r="Z27" s="54"/>
      <c r="AA27" s="54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</row>
    <row r="28" spans="1:95" ht="15.75" customHeight="1" thickBot="1" x14ac:dyDescent="0.3">
      <c r="A28" s="325" t="s">
        <v>745</v>
      </c>
      <c r="B28" s="281" t="s">
        <v>128</v>
      </c>
      <c r="C28" s="326">
        <v>0</v>
      </c>
      <c r="D28" s="281" t="s">
        <v>748</v>
      </c>
      <c r="E28" s="282"/>
      <c r="F28" s="283">
        <v>7.6</v>
      </c>
      <c r="G28" s="284">
        <v>44419</v>
      </c>
      <c r="H28" s="351">
        <v>8.1300000000000008</v>
      </c>
      <c r="I28" s="351">
        <v>8.6300000000000008</v>
      </c>
      <c r="J28" s="352">
        <v>44433</v>
      </c>
      <c r="K28" s="286">
        <f t="shared" si="0"/>
        <v>6.9736842105263319E-2</v>
      </c>
      <c r="L28" s="286">
        <f t="shared" si="1"/>
        <v>0.13552631578947394</v>
      </c>
      <c r="M28" s="353">
        <v>44435</v>
      </c>
      <c r="N28" s="328"/>
      <c r="O28" s="329">
        <v>66000000</v>
      </c>
      <c r="P28" s="329">
        <v>22140000</v>
      </c>
      <c r="Q28" s="329">
        <v>14</v>
      </c>
      <c r="R28" s="328" t="s">
        <v>152</v>
      </c>
      <c r="S28" s="330" t="s">
        <v>348</v>
      </c>
      <c r="T28" s="328" t="s">
        <v>158</v>
      </c>
      <c r="U28" s="22">
        <v>2004</v>
      </c>
      <c r="V28" s="22">
        <v>8573010</v>
      </c>
      <c r="W28" s="22"/>
      <c r="X28" s="22"/>
      <c r="Y28" s="54"/>
      <c r="Z28" s="54"/>
      <c r="AA28" s="54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</row>
    <row r="29" spans="1:95" ht="15.75" customHeight="1" thickBot="1" x14ac:dyDescent="0.3">
      <c r="A29" s="325" t="s">
        <v>745</v>
      </c>
      <c r="B29" s="281" t="s">
        <v>128</v>
      </c>
      <c r="C29" s="326">
        <v>0</v>
      </c>
      <c r="D29" s="281" t="s">
        <v>749</v>
      </c>
      <c r="E29" s="282"/>
      <c r="F29" s="283">
        <v>7.86</v>
      </c>
      <c r="G29" s="284">
        <v>44419</v>
      </c>
      <c r="H29" s="351">
        <v>7.41</v>
      </c>
      <c r="I29" s="285">
        <v>7.86</v>
      </c>
      <c r="J29" s="352">
        <v>44419</v>
      </c>
      <c r="K29" s="286">
        <f t="shared" si="0"/>
        <v>-5.7251908396946605E-2</v>
      </c>
      <c r="L29" s="286">
        <f t="shared" si="1"/>
        <v>0</v>
      </c>
      <c r="M29" s="353">
        <v>44435</v>
      </c>
      <c r="N29" s="328"/>
      <c r="O29" s="329">
        <v>8221026</v>
      </c>
      <c r="P29" s="329"/>
      <c r="Q29" s="329"/>
      <c r="R29" s="328" t="s">
        <v>131</v>
      </c>
      <c r="S29" s="330" t="s">
        <v>135</v>
      </c>
      <c r="T29" s="328" t="s">
        <v>622</v>
      </c>
      <c r="U29" s="22">
        <v>348</v>
      </c>
      <c r="V29" s="22">
        <v>364002</v>
      </c>
      <c r="W29" s="22"/>
      <c r="X29" s="22"/>
      <c r="Y29" s="54"/>
      <c r="Z29" s="54"/>
      <c r="AA29" s="54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</row>
    <row r="30" spans="1:95" ht="15.75" customHeight="1" thickBot="1" x14ac:dyDescent="0.3">
      <c r="A30" s="325"/>
      <c r="B30" s="281" t="s">
        <v>128</v>
      </c>
      <c r="C30" s="326">
        <v>0</v>
      </c>
      <c r="D30" s="281" t="s">
        <v>750</v>
      </c>
      <c r="E30" s="282"/>
      <c r="F30" s="283">
        <v>1.46</v>
      </c>
      <c r="G30" s="284">
        <v>44417</v>
      </c>
      <c r="H30" s="351">
        <v>1.23</v>
      </c>
      <c r="I30" s="351">
        <v>1.4715</v>
      </c>
      <c r="J30" s="352">
        <v>44418</v>
      </c>
      <c r="K30" s="286">
        <f t="shared" si="0"/>
        <v>-0.15753424657534243</v>
      </c>
      <c r="L30" s="286">
        <f t="shared" si="1"/>
        <v>7.8767123287670771E-3</v>
      </c>
      <c r="M30" s="353">
        <v>44435</v>
      </c>
      <c r="N30" s="328"/>
      <c r="O30" s="329">
        <v>42321048</v>
      </c>
      <c r="P30" s="329">
        <v>18780000</v>
      </c>
      <c r="Q30" s="329">
        <v>1</v>
      </c>
      <c r="R30" s="328" t="s">
        <v>131</v>
      </c>
      <c r="S30" s="330" t="s">
        <v>135</v>
      </c>
      <c r="T30" s="328" t="s">
        <v>714</v>
      </c>
      <c r="U30" s="22">
        <v>60</v>
      </c>
      <c r="V30" s="22">
        <v>617046</v>
      </c>
      <c r="W30" s="22"/>
      <c r="X30" s="22"/>
      <c r="Y30" s="54"/>
      <c r="Z30" s="54"/>
      <c r="AA30" s="54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</row>
    <row r="31" spans="1:95" ht="15.75" customHeight="1" thickBot="1" x14ac:dyDescent="0.3">
      <c r="A31" s="325"/>
      <c r="B31" s="281" t="s">
        <v>128</v>
      </c>
      <c r="C31" s="326">
        <v>0</v>
      </c>
      <c r="D31" s="281" t="s">
        <v>751</v>
      </c>
      <c r="E31" s="282"/>
      <c r="F31" s="283">
        <v>2.2599999999999998</v>
      </c>
      <c r="G31" s="284">
        <v>44417</v>
      </c>
      <c r="H31" s="351">
        <v>2.2799999999999998</v>
      </c>
      <c r="I31" s="351">
        <v>2.38</v>
      </c>
      <c r="J31" s="352">
        <v>44418</v>
      </c>
      <c r="K31" s="286">
        <f t="shared" si="0"/>
        <v>8.8495575221239076E-3</v>
      </c>
      <c r="L31" s="286">
        <f t="shared" si="1"/>
        <v>5.3097345132743445E-2</v>
      </c>
      <c r="M31" s="353">
        <v>44435</v>
      </c>
      <c r="N31" s="328"/>
      <c r="O31" s="329">
        <v>61864296</v>
      </c>
      <c r="P31" s="329">
        <v>57350000</v>
      </c>
      <c r="Q31" s="329">
        <v>1</v>
      </c>
      <c r="R31" s="328" t="s">
        <v>131</v>
      </c>
      <c r="S31" s="330" t="s">
        <v>135</v>
      </c>
      <c r="T31" s="328" t="s">
        <v>408</v>
      </c>
      <c r="U31" s="22">
        <v>172</v>
      </c>
      <c r="V31" s="22">
        <v>547216</v>
      </c>
      <c r="W31" s="22"/>
      <c r="X31" s="22"/>
      <c r="Y31" s="54"/>
      <c r="Z31" s="54"/>
      <c r="AA31" s="54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</row>
    <row r="32" spans="1:95" ht="15.75" customHeight="1" thickBot="1" x14ac:dyDescent="0.3">
      <c r="A32" s="325"/>
      <c r="B32" s="281" t="s">
        <v>128</v>
      </c>
      <c r="C32" s="326">
        <v>0</v>
      </c>
      <c r="D32" s="281" t="s">
        <v>138</v>
      </c>
      <c r="E32" s="282"/>
      <c r="F32" s="283">
        <v>3.05</v>
      </c>
      <c r="G32" s="284">
        <v>44414</v>
      </c>
      <c r="H32" s="351">
        <v>2.37</v>
      </c>
      <c r="I32" s="351">
        <v>3.19</v>
      </c>
      <c r="J32" s="352">
        <v>44418</v>
      </c>
      <c r="K32" s="286">
        <f t="shared" si="0"/>
        <v>-0.22295081967213104</v>
      </c>
      <c r="L32" s="286">
        <f t="shared" si="1"/>
        <v>4.590163934426239E-2</v>
      </c>
      <c r="M32" s="353">
        <v>44435</v>
      </c>
      <c r="N32" s="328"/>
      <c r="O32" s="329">
        <v>14983761</v>
      </c>
      <c r="P32" s="329">
        <v>12030000</v>
      </c>
      <c r="Q32" s="329">
        <v>4</v>
      </c>
      <c r="R32" s="328" t="s">
        <v>139</v>
      </c>
      <c r="S32" s="330"/>
      <c r="T32" s="328" t="s">
        <v>140</v>
      </c>
      <c r="U32" s="22">
        <v>1852</v>
      </c>
      <c r="V32" s="22">
        <v>357957</v>
      </c>
      <c r="W32" s="22"/>
      <c r="X32" s="22"/>
      <c r="Y32" s="54"/>
      <c r="Z32" s="54"/>
      <c r="AA32" s="54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</row>
    <row r="33" spans="1:95" ht="15.75" customHeight="1" thickBot="1" x14ac:dyDescent="0.3">
      <c r="A33" s="325"/>
      <c r="B33" s="281" t="s">
        <v>128</v>
      </c>
      <c r="C33" s="326">
        <v>0</v>
      </c>
      <c r="D33" s="281" t="s">
        <v>134</v>
      </c>
      <c r="E33" s="282"/>
      <c r="F33" s="283">
        <v>4.33</v>
      </c>
      <c r="G33" s="284">
        <v>44414</v>
      </c>
      <c r="H33" s="351">
        <v>4.04</v>
      </c>
      <c r="I33" s="351">
        <v>4.46</v>
      </c>
      <c r="J33" s="352">
        <v>44417</v>
      </c>
      <c r="K33" s="286">
        <f t="shared" si="0"/>
        <v>-6.6974595842956175E-2</v>
      </c>
      <c r="L33" s="286">
        <f t="shared" si="1"/>
        <v>3.0023094688221619E-2</v>
      </c>
      <c r="M33" s="353">
        <v>44435</v>
      </c>
      <c r="N33" s="328"/>
      <c r="O33" s="329">
        <v>6690311</v>
      </c>
      <c r="P33" s="329">
        <v>3920000</v>
      </c>
      <c r="Q33" s="329">
        <v>3</v>
      </c>
      <c r="R33" s="328" t="s">
        <v>131</v>
      </c>
      <c r="S33" s="330" t="s">
        <v>135</v>
      </c>
      <c r="T33" s="328" t="s">
        <v>136</v>
      </c>
      <c r="U33" s="22">
        <v>264</v>
      </c>
      <c r="V33" s="22">
        <v>277177</v>
      </c>
      <c r="W33" s="22"/>
      <c r="X33" s="22"/>
      <c r="Y33" s="54"/>
      <c r="Z33" s="54"/>
      <c r="AA33" s="54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</row>
    <row r="34" spans="1:95" ht="15.75" customHeight="1" thickBot="1" x14ac:dyDescent="0.3">
      <c r="A34" s="325"/>
      <c r="B34" s="281" t="s">
        <v>128</v>
      </c>
      <c r="C34" s="326">
        <v>1</v>
      </c>
      <c r="D34" s="281" t="s">
        <v>752</v>
      </c>
      <c r="E34" s="282"/>
      <c r="F34" s="283">
        <v>2.7</v>
      </c>
      <c r="G34" s="284">
        <v>44414</v>
      </c>
      <c r="H34" s="351">
        <v>2.79</v>
      </c>
      <c r="I34" s="351">
        <v>3.29</v>
      </c>
      <c r="J34" s="352">
        <v>44427</v>
      </c>
      <c r="K34" s="286">
        <f t="shared" si="0"/>
        <v>3.3333333333333215E-2</v>
      </c>
      <c r="L34" s="286">
        <f t="shared" si="1"/>
        <v>0.21851851851851856</v>
      </c>
      <c r="M34" s="353">
        <v>44435</v>
      </c>
      <c r="N34" s="328"/>
      <c r="O34" s="329">
        <v>8037528</v>
      </c>
      <c r="P34" s="329">
        <v>4620000</v>
      </c>
      <c r="Q34" s="329">
        <v>13</v>
      </c>
      <c r="R34" s="328" t="s">
        <v>131</v>
      </c>
      <c r="S34" s="330" t="s">
        <v>135</v>
      </c>
      <c r="T34" s="328" t="s">
        <v>408</v>
      </c>
      <c r="U34" s="22">
        <v>272</v>
      </c>
      <c r="V34" s="22">
        <v>532094</v>
      </c>
      <c r="W34" s="22"/>
      <c r="X34" s="22"/>
      <c r="Y34" s="54"/>
      <c r="Z34" s="54"/>
      <c r="AA34" s="54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</row>
    <row r="35" spans="1:95" ht="15.75" customHeight="1" thickBot="1" x14ac:dyDescent="0.3">
      <c r="A35" s="325" t="s">
        <v>753</v>
      </c>
      <c r="B35" s="281" t="s">
        <v>128</v>
      </c>
      <c r="C35" s="326">
        <v>0</v>
      </c>
      <c r="D35" s="281" t="s">
        <v>754</v>
      </c>
      <c r="E35" s="282"/>
      <c r="F35" s="283">
        <v>28.75</v>
      </c>
      <c r="G35" s="284">
        <v>44411</v>
      </c>
      <c r="H35" s="351">
        <v>31</v>
      </c>
      <c r="I35" s="351">
        <v>32.622100000000003</v>
      </c>
      <c r="J35" s="352">
        <v>44414</v>
      </c>
      <c r="K35" s="286">
        <f t="shared" si="0"/>
        <v>7.8260869565217384E-2</v>
      </c>
      <c r="L35" s="286">
        <f t="shared" si="1"/>
        <v>0.13468173913043491</v>
      </c>
      <c r="M35" s="353">
        <v>44435</v>
      </c>
      <c r="N35" s="328"/>
      <c r="O35" s="329">
        <v>38424662</v>
      </c>
      <c r="P35" s="329">
        <v>29210000</v>
      </c>
      <c r="Q35" s="329">
        <v>3</v>
      </c>
      <c r="R35" s="328" t="s">
        <v>131</v>
      </c>
      <c r="S35" s="330" t="s">
        <v>148</v>
      </c>
      <c r="T35" s="328" t="s">
        <v>154</v>
      </c>
      <c r="U35" s="22">
        <v>32</v>
      </c>
      <c r="V35" s="22">
        <v>234051</v>
      </c>
      <c r="W35" s="22"/>
      <c r="X35" s="22"/>
      <c r="Y35" s="54"/>
      <c r="Z35" s="54"/>
      <c r="AA35" s="54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</row>
    <row r="36" spans="1:95" ht="15.75" customHeight="1" thickBot="1" x14ac:dyDescent="0.3">
      <c r="A36" s="325" t="s">
        <v>732</v>
      </c>
      <c r="B36" s="281" t="s">
        <v>128</v>
      </c>
      <c r="C36" s="326">
        <v>0</v>
      </c>
      <c r="D36" s="281" t="s">
        <v>755</v>
      </c>
      <c r="E36" s="60" t="s">
        <v>756</v>
      </c>
      <c r="F36" s="283">
        <v>3.72</v>
      </c>
      <c r="G36" s="284">
        <v>44411</v>
      </c>
      <c r="H36" s="351">
        <v>4.26</v>
      </c>
      <c r="I36" s="351">
        <v>4.3600000000000003</v>
      </c>
      <c r="J36" s="352">
        <v>44434</v>
      </c>
      <c r="K36" s="286">
        <f t="shared" si="0"/>
        <v>0.14516129032258052</v>
      </c>
      <c r="L36" s="286">
        <f t="shared" si="1"/>
        <v>0.17204301075268824</v>
      </c>
      <c r="M36" s="353">
        <v>44435</v>
      </c>
      <c r="N36" s="328"/>
      <c r="O36" s="329">
        <v>12302157</v>
      </c>
      <c r="P36" s="329">
        <v>10190000</v>
      </c>
      <c r="Q36" s="329">
        <v>23</v>
      </c>
      <c r="R36" s="328" t="s">
        <v>131</v>
      </c>
      <c r="S36" s="330" t="s">
        <v>148</v>
      </c>
      <c r="T36" s="328" t="s">
        <v>217</v>
      </c>
      <c r="U36" s="22">
        <v>64</v>
      </c>
      <c r="V36" s="22">
        <v>255462</v>
      </c>
      <c r="W36" s="22"/>
      <c r="X36" s="22"/>
      <c r="Y36" s="54"/>
      <c r="Z36" s="54"/>
      <c r="AA36" s="54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</row>
    <row r="37" spans="1:95" ht="15.75" customHeight="1" thickBot="1" x14ac:dyDescent="0.3">
      <c r="A37" s="325" t="s">
        <v>732</v>
      </c>
      <c r="B37" s="281" t="s">
        <v>128</v>
      </c>
      <c r="C37" s="326">
        <v>1</v>
      </c>
      <c r="D37" s="281" t="s">
        <v>757</v>
      </c>
      <c r="E37" s="60" t="s">
        <v>758</v>
      </c>
      <c r="F37" s="283">
        <v>0.55600000000000005</v>
      </c>
      <c r="G37" s="284">
        <v>44411</v>
      </c>
      <c r="H37" s="351">
        <v>0.55010000000000003</v>
      </c>
      <c r="I37" s="351">
        <v>0.59789999999999999</v>
      </c>
      <c r="J37" s="352">
        <v>44418</v>
      </c>
      <c r="K37" s="286">
        <f t="shared" si="0"/>
        <v>-1.0611510791366907E-2</v>
      </c>
      <c r="L37" s="286">
        <f t="shared" si="1"/>
        <v>7.5359712230215647E-2</v>
      </c>
      <c r="M37" s="353">
        <v>44435</v>
      </c>
      <c r="N37" s="328"/>
      <c r="O37" s="329">
        <v>101903979</v>
      </c>
      <c r="P37" s="329">
        <v>101720000</v>
      </c>
      <c r="Q37" s="329">
        <v>7</v>
      </c>
      <c r="R37" s="328" t="s">
        <v>131</v>
      </c>
      <c r="S37" s="330" t="s">
        <v>148</v>
      </c>
      <c r="T37" s="328" t="s">
        <v>154</v>
      </c>
      <c r="U37" s="22">
        <v>100</v>
      </c>
      <c r="V37" s="22">
        <v>1392602</v>
      </c>
      <c r="W37" s="22"/>
      <c r="X37" s="22"/>
      <c r="Y37" s="54"/>
      <c r="Z37" s="54"/>
      <c r="AA37" s="54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</row>
    <row r="38" spans="1:95" ht="15.75" customHeight="1" thickBot="1" x14ac:dyDescent="0.3">
      <c r="A38" s="325" t="s">
        <v>732</v>
      </c>
      <c r="B38" s="281" t="s">
        <v>128</v>
      </c>
      <c r="C38" s="326">
        <v>1</v>
      </c>
      <c r="D38" s="281" t="s">
        <v>759</v>
      </c>
      <c r="E38" s="282"/>
      <c r="F38" s="283">
        <v>1.1100000000000001</v>
      </c>
      <c r="G38" s="284">
        <v>44411</v>
      </c>
      <c r="H38" s="351">
        <v>1.04</v>
      </c>
      <c r="I38" s="351">
        <v>1.1499999999999999</v>
      </c>
      <c r="J38" s="352">
        <v>44419</v>
      </c>
      <c r="K38" s="286">
        <f t="shared" ref="K38:K69" si="2">IF(F38&lt;&gt;"", (H38/F38)-100%, "")</f>
        <v>-6.3063063063063085E-2</v>
      </c>
      <c r="L38" s="286">
        <f t="shared" ref="L38:L69" si="3">IF(F38&lt;&gt;"", (I38/F38)-100%, "")</f>
        <v>3.603603603603589E-2</v>
      </c>
      <c r="M38" s="353">
        <v>44435</v>
      </c>
      <c r="N38" s="328"/>
      <c r="O38" s="329">
        <v>52762048</v>
      </c>
      <c r="P38" s="329">
        <v>41450000</v>
      </c>
      <c r="Q38" s="329">
        <v>8</v>
      </c>
      <c r="R38" s="328" t="s">
        <v>131</v>
      </c>
      <c r="S38" s="330" t="s">
        <v>148</v>
      </c>
      <c r="T38" s="328" t="s">
        <v>154</v>
      </c>
      <c r="U38" s="22">
        <v>64</v>
      </c>
      <c r="V38" s="22">
        <v>1556505</v>
      </c>
      <c r="W38" s="22"/>
      <c r="X38" s="22"/>
      <c r="Y38" s="54"/>
      <c r="Z38" s="54"/>
      <c r="AA38" s="54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</row>
    <row r="39" spans="1:95" ht="15.75" customHeight="1" thickBot="1" x14ac:dyDescent="0.3">
      <c r="A39" s="325" t="s">
        <v>732</v>
      </c>
      <c r="B39" s="281" t="s">
        <v>128</v>
      </c>
      <c r="C39" s="326">
        <v>1</v>
      </c>
      <c r="D39" s="281" t="s">
        <v>760</v>
      </c>
      <c r="E39" s="330"/>
      <c r="F39" s="283">
        <v>14.49</v>
      </c>
      <c r="G39" s="284">
        <v>44411</v>
      </c>
      <c r="H39" s="351">
        <v>13.74</v>
      </c>
      <c r="I39" s="351">
        <v>15.38</v>
      </c>
      <c r="J39" s="352">
        <v>44414</v>
      </c>
      <c r="K39" s="286">
        <f t="shared" si="2"/>
        <v>-5.1759834368530044E-2</v>
      </c>
      <c r="L39" s="286">
        <f t="shared" si="3"/>
        <v>6.1421670117322247E-2</v>
      </c>
      <c r="M39" s="353">
        <v>44435</v>
      </c>
      <c r="N39" s="328"/>
      <c r="O39" s="329">
        <v>26014621</v>
      </c>
      <c r="P39" s="329">
        <v>24370000</v>
      </c>
      <c r="Q39" s="329">
        <v>3</v>
      </c>
      <c r="R39" s="328" t="s">
        <v>131</v>
      </c>
      <c r="S39" s="330" t="s">
        <v>157</v>
      </c>
      <c r="T39" s="328" t="s">
        <v>154</v>
      </c>
      <c r="U39" s="22">
        <v>104</v>
      </c>
      <c r="V39" s="22">
        <v>216372</v>
      </c>
      <c r="W39" s="22"/>
      <c r="X39" s="22"/>
      <c r="Y39" s="54"/>
      <c r="Z39" s="54"/>
      <c r="AA39" s="54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</row>
    <row r="40" spans="1:95" ht="15.75" customHeight="1" thickBot="1" x14ac:dyDescent="0.3">
      <c r="A40" s="325" t="s">
        <v>732</v>
      </c>
      <c r="B40" s="281" t="s">
        <v>128</v>
      </c>
      <c r="C40" s="326">
        <v>0</v>
      </c>
      <c r="D40" s="281" t="s">
        <v>312</v>
      </c>
      <c r="E40" s="330"/>
      <c r="F40" s="283">
        <v>5.32</v>
      </c>
      <c r="G40" s="284">
        <v>44411</v>
      </c>
      <c r="H40" s="351">
        <v>5.15</v>
      </c>
      <c r="I40" s="351">
        <v>5.47</v>
      </c>
      <c r="J40" s="352">
        <v>44417</v>
      </c>
      <c r="K40" s="286">
        <f t="shared" si="2"/>
        <v>-3.1954887218045069E-2</v>
      </c>
      <c r="L40" s="286">
        <f t="shared" si="3"/>
        <v>2.8195488721804329E-2</v>
      </c>
      <c r="M40" s="353">
        <v>44435</v>
      </c>
      <c r="N40" s="328"/>
      <c r="O40" s="329">
        <v>25000000</v>
      </c>
      <c r="P40" s="329"/>
      <c r="Q40" s="329">
        <v>6</v>
      </c>
      <c r="R40" s="328" t="s">
        <v>152</v>
      </c>
      <c r="S40" s="330" t="s">
        <v>192</v>
      </c>
      <c r="T40" s="328" t="s">
        <v>313</v>
      </c>
      <c r="U40" s="22">
        <v>40</v>
      </c>
      <c r="V40" s="22">
        <v>633946</v>
      </c>
      <c r="W40" s="22"/>
      <c r="X40" s="22"/>
      <c r="Y40" s="54"/>
      <c r="Z40" s="54"/>
      <c r="AA40" s="54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</row>
    <row r="41" spans="1:95" ht="15.75" customHeight="1" thickBot="1" x14ac:dyDescent="0.3">
      <c r="A41" s="325"/>
      <c r="B41" s="281" t="s">
        <v>128</v>
      </c>
      <c r="C41" s="326">
        <v>0</v>
      </c>
      <c r="D41" s="281" t="s">
        <v>761</v>
      </c>
      <c r="E41" s="282"/>
      <c r="F41" s="283">
        <v>6.6</v>
      </c>
      <c r="G41" s="284">
        <v>44410</v>
      </c>
      <c r="H41" s="351">
        <v>7.59</v>
      </c>
      <c r="I41" s="351">
        <v>8.6999999999999993</v>
      </c>
      <c r="J41" s="352">
        <v>44417</v>
      </c>
      <c r="K41" s="286">
        <f t="shared" si="2"/>
        <v>0.15000000000000013</v>
      </c>
      <c r="L41" s="286">
        <f t="shared" si="3"/>
        <v>0.31818181818181812</v>
      </c>
      <c r="M41" s="353">
        <v>44435</v>
      </c>
      <c r="N41" s="328"/>
      <c r="O41" s="329">
        <v>19345190</v>
      </c>
      <c r="P41" s="329">
        <v>17940000</v>
      </c>
      <c r="Q41" s="329">
        <v>7</v>
      </c>
      <c r="R41" s="328" t="s">
        <v>139</v>
      </c>
      <c r="S41" s="330" t="s">
        <v>148</v>
      </c>
      <c r="T41" s="328" t="s">
        <v>154</v>
      </c>
      <c r="U41" s="22">
        <v>856</v>
      </c>
      <c r="V41" s="22">
        <v>455864</v>
      </c>
      <c r="W41" s="22"/>
      <c r="X41" s="22"/>
      <c r="Y41" s="54"/>
      <c r="Z41" s="54"/>
      <c r="AA41" s="54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</row>
    <row r="42" spans="1:95" ht="15.75" customHeight="1" thickBot="1" x14ac:dyDescent="0.3">
      <c r="A42" s="325"/>
      <c r="B42" s="281" t="s">
        <v>128</v>
      </c>
      <c r="C42" s="326">
        <v>0</v>
      </c>
      <c r="D42" s="281" t="s">
        <v>762</v>
      </c>
      <c r="E42" s="282"/>
      <c r="F42" s="283">
        <v>3.74</v>
      </c>
      <c r="G42" s="284">
        <v>44407</v>
      </c>
      <c r="H42" s="351">
        <v>2.78</v>
      </c>
      <c r="I42" s="351">
        <v>4.05</v>
      </c>
      <c r="J42" s="352">
        <v>44414</v>
      </c>
      <c r="K42" s="286">
        <f t="shared" si="2"/>
        <v>-0.25668449197860976</v>
      </c>
      <c r="L42" s="286">
        <f t="shared" si="3"/>
        <v>8.2887700534759245E-2</v>
      </c>
      <c r="M42" s="353">
        <v>44435</v>
      </c>
      <c r="N42" s="328"/>
      <c r="O42" s="329">
        <v>69670613</v>
      </c>
      <c r="P42" s="329"/>
      <c r="Q42" s="329">
        <v>7</v>
      </c>
      <c r="R42" s="328"/>
      <c r="S42" s="330" t="s">
        <v>148</v>
      </c>
      <c r="T42" s="328"/>
      <c r="U42" s="22">
        <v>68</v>
      </c>
      <c r="V42" s="22">
        <v>1418867</v>
      </c>
      <c r="W42" s="22"/>
      <c r="X42" s="22"/>
      <c r="Y42" s="54"/>
      <c r="Z42" s="54"/>
      <c r="AA42" s="54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</row>
    <row r="43" spans="1:95" ht="15.75" customHeight="1" thickBot="1" x14ac:dyDescent="0.3">
      <c r="A43" s="325"/>
      <c r="B43" s="281" t="s">
        <v>128</v>
      </c>
      <c r="C43" s="326">
        <v>1</v>
      </c>
      <c r="D43" s="281" t="s">
        <v>763</v>
      </c>
      <c r="E43" s="282"/>
      <c r="F43" s="283">
        <v>5.6</v>
      </c>
      <c r="G43" s="284">
        <v>44407</v>
      </c>
      <c r="H43" s="351">
        <v>3.1</v>
      </c>
      <c r="I43" s="351">
        <v>6</v>
      </c>
      <c r="J43" s="352">
        <v>44410</v>
      </c>
      <c r="K43" s="286">
        <f t="shared" si="2"/>
        <v>-0.4464285714285714</v>
      </c>
      <c r="L43" s="286">
        <f t="shared" si="3"/>
        <v>7.1428571428571397E-2</v>
      </c>
      <c r="M43" s="353">
        <v>44435</v>
      </c>
      <c r="N43" s="328"/>
      <c r="O43" s="329">
        <v>24230786</v>
      </c>
      <c r="P43" s="329"/>
      <c r="Q43" s="329">
        <v>3</v>
      </c>
      <c r="R43" s="328" t="s">
        <v>131</v>
      </c>
      <c r="S43" s="330" t="s">
        <v>157</v>
      </c>
      <c r="T43" s="328" t="s">
        <v>154</v>
      </c>
      <c r="U43" s="22">
        <v>88</v>
      </c>
      <c r="V43" s="22">
        <v>6733371</v>
      </c>
      <c r="W43" s="22"/>
      <c r="X43" s="22"/>
      <c r="Y43" s="54"/>
      <c r="Z43" s="54"/>
      <c r="AA43" s="54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</row>
    <row r="44" spans="1:95" ht="15.75" customHeight="1" thickBot="1" x14ac:dyDescent="0.3">
      <c r="A44" s="325"/>
      <c r="B44" s="281" t="s">
        <v>128</v>
      </c>
      <c r="C44" s="326">
        <v>0</v>
      </c>
      <c r="D44" s="281" t="s">
        <v>764</v>
      </c>
      <c r="E44" s="335" t="s">
        <v>765</v>
      </c>
      <c r="F44" s="283">
        <v>2.9</v>
      </c>
      <c r="G44" s="284">
        <v>44407</v>
      </c>
      <c r="H44" s="351">
        <v>3.1</v>
      </c>
      <c r="I44" s="351">
        <v>3.49</v>
      </c>
      <c r="J44" s="352">
        <v>44413</v>
      </c>
      <c r="K44" s="286">
        <f t="shared" si="2"/>
        <v>6.8965517241379448E-2</v>
      </c>
      <c r="L44" s="286">
        <f t="shared" si="3"/>
        <v>0.20344827586206904</v>
      </c>
      <c r="M44" s="353">
        <v>44435</v>
      </c>
      <c r="N44" s="328"/>
      <c r="O44" s="329">
        <v>11957296</v>
      </c>
      <c r="P44" s="329">
        <v>2950000</v>
      </c>
      <c r="Q44" s="329">
        <v>6</v>
      </c>
      <c r="R44" s="328" t="s">
        <v>131</v>
      </c>
      <c r="S44" s="330" t="s">
        <v>157</v>
      </c>
      <c r="T44" s="328" t="s">
        <v>154</v>
      </c>
      <c r="U44" s="22">
        <v>264</v>
      </c>
      <c r="V44" s="22">
        <v>164585</v>
      </c>
      <c r="W44" s="22"/>
      <c r="X44" s="22"/>
      <c r="Y44" s="54"/>
      <c r="Z44" s="54"/>
      <c r="AA44" s="54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</row>
    <row r="45" spans="1:95" ht="15.75" customHeight="1" thickBot="1" x14ac:dyDescent="0.3">
      <c r="A45" s="325" t="s">
        <v>732</v>
      </c>
      <c r="B45" s="281" t="s">
        <v>128</v>
      </c>
      <c r="C45" s="326">
        <v>1</v>
      </c>
      <c r="D45" s="281" t="s">
        <v>766</v>
      </c>
      <c r="E45" s="282"/>
      <c r="F45" s="283">
        <v>2.89</v>
      </c>
      <c r="G45" s="284">
        <v>44405</v>
      </c>
      <c r="H45" s="351">
        <v>2.76</v>
      </c>
      <c r="I45" s="351">
        <v>3.54</v>
      </c>
      <c r="J45" s="352">
        <v>44410</v>
      </c>
      <c r="K45" s="286">
        <f t="shared" si="2"/>
        <v>-4.498269896193785E-2</v>
      </c>
      <c r="L45" s="286">
        <f t="shared" si="3"/>
        <v>0.22491349480968847</v>
      </c>
      <c r="M45" s="353">
        <v>44435</v>
      </c>
      <c r="N45" s="328"/>
      <c r="O45" s="329">
        <v>13407029</v>
      </c>
      <c r="P45" s="329">
        <v>12470000</v>
      </c>
      <c r="Q45" s="329">
        <v>5</v>
      </c>
      <c r="R45" s="328" t="s">
        <v>131</v>
      </c>
      <c r="S45" s="330" t="s">
        <v>135</v>
      </c>
      <c r="T45" s="328" t="s">
        <v>133</v>
      </c>
      <c r="U45" s="22">
        <v>148</v>
      </c>
      <c r="V45" s="22">
        <v>1400088</v>
      </c>
      <c r="W45" s="22"/>
      <c r="X45" s="22"/>
      <c r="Y45" s="54"/>
      <c r="Z45" s="54"/>
      <c r="AA45" s="54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</row>
    <row r="46" spans="1:95" ht="15.75" customHeight="1" thickBot="1" x14ac:dyDescent="0.3">
      <c r="A46" s="325" t="s">
        <v>742</v>
      </c>
      <c r="B46" s="281" t="s">
        <v>128</v>
      </c>
      <c r="C46" s="326">
        <v>0</v>
      </c>
      <c r="D46" s="281" t="s">
        <v>617</v>
      </c>
      <c r="E46" s="330"/>
      <c r="F46" s="283">
        <v>0.72</v>
      </c>
      <c r="G46" s="284">
        <v>44405</v>
      </c>
      <c r="H46" s="351">
        <v>0.70740000000000003</v>
      </c>
      <c r="I46" s="351">
        <v>0.97</v>
      </c>
      <c r="J46" s="352">
        <v>44412</v>
      </c>
      <c r="K46" s="286">
        <f t="shared" si="2"/>
        <v>-1.749999999999996E-2</v>
      </c>
      <c r="L46" s="286">
        <f t="shared" si="3"/>
        <v>0.34722222222222232</v>
      </c>
      <c r="M46" s="353">
        <v>44435</v>
      </c>
      <c r="N46" s="328"/>
      <c r="O46" s="329">
        <v>43579557</v>
      </c>
      <c r="P46" s="329">
        <v>22220000</v>
      </c>
      <c r="Q46" s="329">
        <v>7</v>
      </c>
      <c r="R46" s="328" t="s">
        <v>152</v>
      </c>
      <c r="S46" s="330" t="s">
        <v>148</v>
      </c>
      <c r="T46" s="328" t="s">
        <v>271</v>
      </c>
      <c r="U46" s="22">
        <v>136</v>
      </c>
      <c r="V46" s="22">
        <v>205198</v>
      </c>
      <c r="W46" s="22"/>
      <c r="X46" s="22"/>
      <c r="Y46" s="54"/>
      <c r="Z46" s="54"/>
      <c r="AA46" s="54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</row>
    <row r="47" spans="1:95" ht="15.75" customHeight="1" thickBot="1" x14ac:dyDescent="0.3">
      <c r="A47" s="325"/>
      <c r="B47" s="281" t="s">
        <v>128</v>
      </c>
      <c r="C47" s="326">
        <v>0</v>
      </c>
      <c r="D47" s="281" t="s">
        <v>178</v>
      </c>
      <c r="E47" s="282"/>
      <c r="F47" s="283">
        <v>3.46</v>
      </c>
      <c r="G47" s="284">
        <v>44405</v>
      </c>
      <c r="H47" s="351">
        <v>3.03</v>
      </c>
      <c r="I47" s="351">
        <v>4.24</v>
      </c>
      <c r="J47" s="352">
        <v>44412</v>
      </c>
      <c r="K47" s="286">
        <f t="shared" si="2"/>
        <v>-0.12427745664739887</v>
      </c>
      <c r="L47" s="286">
        <f t="shared" si="3"/>
        <v>0.22543352601156075</v>
      </c>
      <c r="M47" s="353">
        <v>44435</v>
      </c>
      <c r="N47" s="328"/>
      <c r="O47" s="329">
        <v>13829601</v>
      </c>
      <c r="P47" s="329">
        <v>4850000</v>
      </c>
      <c r="Q47" s="329">
        <v>7</v>
      </c>
      <c r="R47" s="328" t="s">
        <v>131</v>
      </c>
      <c r="S47" s="330" t="s">
        <v>135</v>
      </c>
      <c r="T47" s="328" t="s">
        <v>133</v>
      </c>
      <c r="U47" s="22">
        <v>256</v>
      </c>
      <c r="V47" s="22">
        <v>269242</v>
      </c>
      <c r="W47" s="22"/>
      <c r="X47" s="22"/>
      <c r="Y47" s="54"/>
      <c r="Z47" s="54"/>
      <c r="AA47" s="54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</row>
    <row r="48" spans="1:95" ht="15.75" customHeight="1" thickBot="1" x14ac:dyDescent="0.3">
      <c r="A48" s="325"/>
      <c r="B48" s="281" t="s">
        <v>128</v>
      </c>
      <c r="C48" s="326">
        <v>0</v>
      </c>
      <c r="D48" s="281" t="s">
        <v>165</v>
      </c>
      <c r="E48" s="60" t="s">
        <v>767</v>
      </c>
      <c r="F48" s="283">
        <v>2.6</v>
      </c>
      <c r="G48" s="284">
        <v>44405</v>
      </c>
      <c r="H48" s="351">
        <v>2.17</v>
      </c>
      <c r="I48" s="318">
        <v>2.6798999999999999</v>
      </c>
      <c r="J48" s="319">
        <v>44406</v>
      </c>
      <c r="K48" s="286">
        <f t="shared" si="2"/>
        <v>-0.16538461538461546</v>
      </c>
      <c r="L48" s="286">
        <f t="shared" si="3"/>
        <v>3.0730769230769228E-2</v>
      </c>
      <c r="M48" s="353">
        <v>44435</v>
      </c>
      <c r="N48" s="328"/>
      <c r="O48" s="329">
        <v>35134564</v>
      </c>
      <c r="P48" s="329">
        <v>21730000</v>
      </c>
      <c r="Q48" s="329">
        <v>1</v>
      </c>
      <c r="R48" s="328" t="s">
        <v>131</v>
      </c>
      <c r="S48" s="330" t="s">
        <v>157</v>
      </c>
      <c r="T48" s="328" t="s">
        <v>166</v>
      </c>
      <c r="U48" s="22">
        <v>2004</v>
      </c>
      <c r="V48" s="22">
        <v>2004876</v>
      </c>
      <c r="W48" s="22"/>
      <c r="X48" s="22"/>
      <c r="Y48" s="54"/>
      <c r="Z48" s="54"/>
      <c r="AA48" s="54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</row>
    <row r="49" spans="1:95" ht="15.75" customHeight="1" thickBot="1" x14ac:dyDescent="0.3">
      <c r="A49" s="325" t="s">
        <v>732</v>
      </c>
      <c r="B49" s="281" t="s">
        <v>128</v>
      </c>
      <c r="C49" s="326">
        <v>1</v>
      </c>
      <c r="D49" s="281" t="s">
        <v>768</v>
      </c>
      <c r="E49" s="60" t="s">
        <v>769</v>
      </c>
      <c r="F49" s="283">
        <v>5.0599999999999996</v>
      </c>
      <c r="G49" s="284">
        <v>44405</v>
      </c>
      <c r="H49" s="351">
        <v>6.91</v>
      </c>
      <c r="I49" s="351">
        <v>7</v>
      </c>
      <c r="J49" s="352">
        <v>44435</v>
      </c>
      <c r="K49" s="286">
        <f t="shared" si="2"/>
        <v>0.36561264822134398</v>
      </c>
      <c r="L49" s="286">
        <f t="shared" si="3"/>
        <v>0.38339920948616601</v>
      </c>
      <c r="M49" s="353">
        <v>44435</v>
      </c>
      <c r="N49" s="328"/>
      <c r="O49" s="329">
        <v>48085238</v>
      </c>
      <c r="P49" s="329">
        <v>19850000</v>
      </c>
      <c r="Q49" s="329">
        <v>30</v>
      </c>
      <c r="R49" s="328" t="s">
        <v>131</v>
      </c>
      <c r="S49" s="330" t="s">
        <v>148</v>
      </c>
      <c r="T49" s="328" t="s">
        <v>154</v>
      </c>
      <c r="U49" s="22">
        <v>56</v>
      </c>
      <c r="V49" s="22">
        <v>374928</v>
      </c>
      <c r="W49" s="22"/>
      <c r="X49" s="22"/>
      <c r="Y49" s="54"/>
      <c r="Z49" s="54"/>
      <c r="AA49" s="54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</row>
    <row r="50" spans="1:95" ht="15.75" customHeight="1" thickBot="1" x14ac:dyDescent="0.3">
      <c r="A50" s="325" t="s">
        <v>732</v>
      </c>
      <c r="B50" s="281" t="s">
        <v>128</v>
      </c>
      <c r="C50" s="326">
        <v>1</v>
      </c>
      <c r="D50" s="281" t="s">
        <v>168</v>
      </c>
      <c r="E50" s="282"/>
      <c r="F50" s="283">
        <v>4.8</v>
      </c>
      <c r="G50" s="284">
        <v>44405</v>
      </c>
      <c r="H50" s="351">
        <v>3.85</v>
      </c>
      <c r="I50" s="318">
        <v>5.0599999999999996</v>
      </c>
      <c r="J50" s="319">
        <v>44406</v>
      </c>
      <c r="K50" s="286">
        <f t="shared" si="2"/>
        <v>-0.19791666666666663</v>
      </c>
      <c r="L50" s="286">
        <f t="shared" si="3"/>
        <v>5.4166666666666696E-2</v>
      </c>
      <c r="M50" s="353">
        <v>44435</v>
      </c>
      <c r="N50" s="328"/>
      <c r="O50" s="329">
        <v>35843902</v>
      </c>
      <c r="P50" s="329">
        <v>12370000</v>
      </c>
      <c r="Q50" s="329">
        <v>1</v>
      </c>
      <c r="R50" s="328" t="s">
        <v>169</v>
      </c>
      <c r="S50" s="330" t="s">
        <v>148</v>
      </c>
      <c r="T50" s="328" t="s">
        <v>154</v>
      </c>
      <c r="U50" s="22">
        <v>76</v>
      </c>
      <c r="V50" s="22">
        <v>1305410</v>
      </c>
      <c r="W50" s="22"/>
      <c r="X50" s="22"/>
      <c r="Y50" s="54"/>
      <c r="Z50" s="54"/>
      <c r="AA50" s="54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</row>
    <row r="51" spans="1:95" ht="15.75" customHeight="1" thickBot="1" x14ac:dyDescent="0.3">
      <c r="A51" s="325" t="s">
        <v>742</v>
      </c>
      <c r="B51" s="281" t="s">
        <v>128</v>
      </c>
      <c r="C51" s="326">
        <v>0</v>
      </c>
      <c r="D51" s="281" t="s">
        <v>770</v>
      </c>
      <c r="E51" s="330"/>
      <c r="F51" s="283">
        <v>1.98</v>
      </c>
      <c r="G51" s="284">
        <v>44405</v>
      </c>
      <c r="H51" s="351">
        <v>1.85</v>
      </c>
      <c r="I51" s="351">
        <v>2.1686000000000001</v>
      </c>
      <c r="J51" s="352">
        <v>44418</v>
      </c>
      <c r="K51" s="286">
        <f t="shared" si="2"/>
        <v>-6.5656565656565635E-2</v>
      </c>
      <c r="L51" s="286">
        <f t="shared" si="3"/>
        <v>9.5252525252525366E-2</v>
      </c>
      <c r="M51" s="353">
        <v>44435</v>
      </c>
      <c r="N51" s="328"/>
      <c r="O51" s="329">
        <v>30263791</v>
      </c>
      <c r="P51" s="329">
        <v>23480000</v>
      </c>
      <c r="Q51" s="329">
        <v>13</v>
      </c>
      <c r="R51" s="328" t="s">
        <v>131</v>
      </c>
      <c r="S51" s="330" t="s">
        <v>493</v>
      </c>
      <c r="T51" s="328" t="s">
        <v>494</v>
      </c>
      <c r="U51" s="22">
        <v>552</v>
      </c>
      <c r="V51" s="22">
        <v>787080</v>
      </c>
      <c r="W51" s="22"/>
      <c r="X51" s="22"/>
      <c r="Y51" s="54"/>
      <c r="Z51" s="54"/>
      <c r="AA51" s="54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</row>
    <row r="52" spans="1:95" ht="15.75" customHeight="1" thickBot="1" x14ac:dyDescent="0.3">
      <c r="A52" s="325" t="s">
        <v>732</v>
      </c>
      <c r="B52" s="281" t="s">
        <v>128</v>
      </c>
      <c r="C52" s="326">
        <v>0</v>
      </c>
      <c r="D52" s="281" t="s">
        <v>502</v>
      </c>
      <c r="E52" s="282"/>
      <c r="F52" s="283">
        <v>6.9</v>
      </c>
      <c r="G52" s="284">
        <v>44405</v>
      </c>
      <c r="H52" s="351">
        <v>6.92</v>
      </c>
      <c r="I52" s="318">
        <v>9.5</v>
      </c>
      <c r="J52" s="319">
        <v>44407</v>
      </c>
      <c r="K52" s="286">
        <f t="shared" si="2"/>
        <v>2.8985507246375164E-3</v>
      </c>
      <c r="L52" s="286">
        <f t="shared" si="3"/>
        <v>0.37681159420289845</v>
      </c>
      <c r="M52" s="353">
        <v>44435</v>
      </c>
      <c r="N52" s="328"/>
      <c r="O52" s="329">
        <v>10967328</v>
      </c>
      <c r="P52" s="329">
        <v>9860000</v>
      </c>
      <c r="Q52" s="329">
        <v>2</v>
      </c>
      <c r="R52" s="328" t="s">
        <v>131</v>
      </c>
      <c r="S52" s="330" t="s">
        <v>135</v>
      </c>
      <c r="T52" s="328" t="s">
        <v>133</v>
      </c>
      <c r="U52" s="22">
        <v>1712</v>
      </c>
      <c r="V52" s="22">
        <v>7622994</v>
      </c>
      <c r="W52" s="22"/>
      <c r="X52" s="22"/>
      <c r="Y52" s="54"/>
      <c r="Z52" s="54"/>
      <c r="AA52" s="54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</row>
    <row r="53" spans="1:95" ht="15.75" customHeight="1" thickBot="1" x14ac:dyDescent="0.3">
      <c r="A53" s="325"/>
      <c r="B53" s="281" t="s">
        <v>128</v>
      </c>
      <c r="C53" s="326">
        <v>0</v>
      </c>
      <c r="D53" s="281" t="s">
        <v>771</v>
      </c>
      <c r="E53" s="60" t="s">
        <v>772</v>
      </c>
      <c r="F53" s="283">
        <v>2.85</v>
      </c>
      <c r="G53" s="284">
        <v>44405</v>
      </c>
      <c r="H53" s="351">
        <v>2.4500000000000002</v>
      </c>
      <c r="I53" s="318">
        <v>3.35</v>
      </c>
      <c r="J53" s="319">
        <v>44406</v>
      </c>
      <c r="K53" s="286">
        <f t="shared" si="2"/>
        <v>-0.14035087719298245</v>
      </c>
      <c r="L53" s="286">
        <f t="shared" si="3"/>
        <v>0.17543859649122817</v>
      </c>
      <c r="M53" s="353">
        <v>44435</v>
      </c>
      <c r="N53" s="328"/>
      <c r="O53" s="329">
        <v>13426806</v>
      </c>
      <c r="P53" s="329">
        <v>8199999.9999999991</v>
      </c>
      <c r="Q53" s="329">
        <v>1</v>
      </c>
      <c r="R53" s="328" t="s">
        <v>131</v>
      </c>
      <c r="S53" s="330" t="s">
        <v>157</v>
      </c>
      <c r="T53" s="328" t="s">
        <v>154</v>
      </c>
      <c r="U53" s="22">
        <v>8</v>
      </c>
      <c r="V53" s="22">
        <v>326212</v>
      </c>
      <c r="W53" s="22"/>
      <c r="X53" s="22"/>
      <c r="Y53" s="54"/>
      <c r="Z53" s="54"/>
      <c r="AA53" s="54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</row>
    <row r="54" spans="1:95" ht="15.75" customHeight="1" thickBot="1" x14ac:dyDescent="0.3">
      <c r="A54" s="325" t="s">
        <v>732</v>
      </c>
      <c r="B54" s="281" t="s">
        <v>128</v>
      </c>
      <c r="C54" s="326">
        <v>1</v>
      </c>
      <c r="D54" s="281" t="s">
        <v>773</v>
      </c>
      <c r="E54" s="282"/>
      <c r="F54" s="283">
        <v>2.2599999999999998</v>
      </c>
      <c r="G54" s="284">
        <v>44405</v>
      </c>
      <c r="H54" s="351">
        <v>2.09</v>
      </c>
      <c r="I54" s="318">
        <v>2.31</v>
      </c>
      <c r="J54" s="319">
        <v>44406</v>
      </c>
      <c r="K54" s="286">
        <f t="shared" si="2"/>
        <v>-7.5221238938053103E-2</v>
      </c>
      <c r="L54" s="286">
        <f t="shared" si="3"/>
        <v>2.212389380530988E-2</v>
      </c>
      <c r="M54" s="353">
        <v>44435</v>
      </c>
      <c r="N54" s="328"/>
      <c r="O54" s="329">
        <v>14643780</v>
      </c>
      <c r="P54" s="329">
        <v>9440000</v>
      </c>
      <c r="Q54" s="329">
        <v>1</v>
      </c>
      <c r="R54" s="328" t="s">
        <v>131</v>
      </c>
      <c r="S54" s="330" t="s">
        <v>493</v>
      </c>
      <c r="T54" s="328" t="s">
        <v>154</v>
      </c>
      <c r="U54" s="22">
        <v>176</v>
      </c>
      <c r="V54" s="22">
        <v>228503</v>
      </c>
      <c r="W54" s="22"/>
      <c r="X54" s="22"/>
      <c r="Y54" s="54"/>
      <c r="Z54" s="54"/>
      <c r="AA54" s="54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</row>
    <row r="55" spans="1:95" ht="15.75" customHeight="1" thickBot="1" x14ac:dyDescent="0.3">
      <c r="A55" s="325" t="s">
        <v>745</v>
      </c>
      <c r="B55" s="281" t="s">
        <v>128</v>
      </c>
      <c r="C55" s="326">
        <v>0</v>
      </c>
      <c r="D55" s="281" t="s">
        <v>774</v>
      </c>
      <c r="E55" s="330"/>
      <c r="F55" s="283">
        <v>4.34</v>
      </c>
      <c r="G55" s="284">
        <v>44405</v>
      </c>
      <c r="H55" s="351">
        <v>4.1500000000000004</v>
      </c>
      <c r="I55" s="351">
        <v>4.5</v>
      </c>
      <c r="J55" s="352">
        <v>44428</v>
      </c>
      <c r="K55" s="286">
        <f t="shared" si="2"/>
        <v>-4.3778801843317838E-2</v>
      </c>
      <c r="L55" s="286">
        <f t="shared" si="3"/>
        <v>3.6866359447004671E-2</v>
      </c>
      <c r="M55" s="353">
        <v>44435</v>
      </c>
      <c r="N55" s="328"/>
      <c r="O55" s="329">
        <v>35750000</v>
      </c>
      <c r="P55" s="329">
        <v>8060000.0000000009</v>
      </c>
      <c r="Q55" s="329">
        <v>23</v>
      </c>
      <c r="R55" s="328" t="s">
        <v>152</v>
      </c>
      <c r="S55" s="330" t="s">
        <v>148</v>
      </c>
      <c r="T55" s="328" t="s">
        <v>271</v>
      </c>
      <c r="U55" s="22">
        <v>8</v>
      </c>
      <c r="V55" s="22">
        <v>335631</v>
      </c>
      <c r="W55" s="22"/>
      <c r="X55" s="22"/>
      <c r="Y55" s="54"/>
      <c r="Z55" s="54"/>
      <c r="AA55" s="54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</row>
    <row r="56" spans="1:95" ht="15.75" customHeight="1" thickBot="1" x14ac:dyDescent="0.3">
      <c r="A56" s="325"/>
      <c r="B56" s="281" t="s">
        <v>128</v>
      </c>
      <c r="C56" s="326">
        <v>0</v>
      </c>
      <c r="D56" s="281" t="s">
        <v>775</v>
      </c>
      <c r="E56" s="335" t="s">
        <v>776</v>
      </c>
      <c r="F56" s="283">
        <v>4.22</v>
      </c>
      <c r="G56" s="284">
        <v>44405</v>
      </c>
      <c r="H56" s="351">
        <v>4.9800000000000004</v>
      </c>
      <c r="I56" s="351">
        <v>5.0999999999999996</v>
      </c>
      <c r="J56" s="352">
        <v>44434</v>
      </c>
      <c r="K56" s="286">
        <f t="shared" si="2"/>
        <v>0.1800947867298579</v>
      </c>
      <c r="L56" s="286">
        <f t="shared" si="3"/>
        <v>0.20853080568720372</v>
      </c>
      <c r="M56" s="353">
        <v>44435</v>
      </c>
      <c r="N56" s="328"/>
      <c r="O56" s="329">
        <v>11089084</v>
      </c>
      <c r="P56" s="329">
        <v>8080000</v>
      </c>
      <c r="Q56" s="329">
        <v>29</v>
      </c>
      <c r="R56" s="328" t="s">
        <v>131</v>
      </c>
      <c r="S56" s="330" t="s">
        <v>157</v>
      </c>
      <c r="T56" s="328" t="s">
        <v>166</v>
      </c>
      <c r="U56" s="22">
        <v>56</v>
      </c>
      <c r="V56" s="22">
        <v>2843112</v>
      </c>
      <c r="W56" s="22"/>
      <c r="X56" s="22"/>
      <c r="Y56" s="54"/>
      <c r="Z56" s="54"/>
      <c r="AA56" s="54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</row>
    <row r="57" spans="1:95" ht="15.75" customHeight="1" thickBot="1" x14ac:dyDescent="0.3">
      <c r="A57" s="325" t="s">
        <v>732</v>
      </c>
      <c r="B57" s="281" t="s">
        <v>128</v>
      </c>
      <c r="C57" s="326">
        <v>1</v>
      </c>
      <c r="D57" s="281" t="s">
        <v>777</v>
      </c>
      <c r="E57" s="282"/>
      <c r="F57" s="283">
        <v>2.89</v>
      </c>
      <c r="G57" s="284">
        <v>44403</v>
      </c>
      <c r="H57" s="351">
        <v>2.76</v>
      </c>
      <c r="I57" s="351">
        <v>3.1</v>
      </c>
      <c r="J57" s="352">
        <v>44417</v>
      </c>
      <c r="K57" s="286">
        <f t="shared" si="2"/>
        <v>-4.498269896193785E-2</v>
      </c>
      <c r="L57" s="286">
        <f t="shared" si="3"/>
        <v>7.2664359861591699E-2</v>
      </c>
      <c r="M57" s="353">
        <v>44435</v>
      </c>
      <c r="N57" s="328"/>
      <c r="O57" s="329">
        <v>40414229</v>
      </c>
      <c r="P57" s="329">
        <v>36110000</v>
      </c>
      <c r="Q57" s="329">
        <v>14</v>
      </c>
      <c r="R57" s="328" t="s">
        <v>147</v>
      </c>
      <c r="S57" s="330" t="s">
        <v>148</v>
      </c>
      <c r="T57" s="328" t="s">
        <v>154</v>
      </c>
      <c r="U57" s="22">
        <v>28</v>
      </c>
      <c r="V57" s="22">
        <v>386735</v>
      </c>
      <c r="W57" s="22"/>
      <c r="X57" s="22"/>
      <c r="Y57" s="54"/>
      <c r="Z57" s="54"/>
      <c r="AA57" s="54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</row>
    <row r="58" spans="1:95" ht="15.75" customHeight="1" thickBot="1" x14ac:dyDescent="0.3">
      <c r="A58" s="325" t="s">
        <v>732</v>
      </c>
      <c r="B58" s="281" t="s">
        <v>128</v>
      </c>
      <c r="C58" s="326">
        <v>1</v>
      </c>
      <c r="D58" s="281" t="s">
        <v>778</v>
      </c>
      <c r="E58" s="330"/>
      <c r="F58" s="283">
        <v>9.41</v>
      </c>
      <c r="G58" s="284">
        <v>44403</v>
      </c>
      <c r="H58" s="351">
        <v>7.87</v>
      </c>
      <c r="I58" s="351">
        <v>9.9899000000000004</v>
      </c>
      <c r="J58" s="352">
        <v>44419</v>
      </c>
      <c r="K58" s="286">
        <f t="shared" si="2"/>
        <v>-0.16365568544102016</v>
      </c>
      <c r="L58" s="286">
        <f t="shared" si="3"/>
        <v>6.1625929861849116E-2</v>
      </c>
      <c r="M58" s="353">
        <v>44435</v>
      </c>
      <c r="N58" s="328"/>
      <c r="O58" s="329">
        <v>9087767</v>
      </c>
      <c r="P58" s="329">
        <v>6510000</v>
      </c>
      <c r="Q58" s="329">
        <v>16</v>
      </c>
      <c r="R58" s="328" t="s">
        <v>131</v>
      </c>
      <c r="S58" s="330" t="s">
        <v>188</v>
      </c>
      <c r="T58" s="328" t="s">
        <v>747</v>
      </c>
      <c r="U58" s="22">
        <v>40</v>
      </c>
      <c r="V58" s="22">
        <v>80552</v>
      </c>
      <c r="W58" s="22"/>
      <c r="X58" s="22"/>
      <c r="Y58" s="54"/>
      <c r="Z58" s="54"/>
      <c r="AA58" s="54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</row>
    <row r="59" spans="1:95" ht="15.75" customHeight="1" thickBot="1" x14ac:dyDescent="0.3">
      <c r="A59" s="325" t="s">
        <v>732</v>
      </c>
      <c r="B59" s="281" t="s">
        <v>128</v>
      </c>
      <c r="C59" s="326">
        <v>5</v>
      </c>
      <c r="D59" s="281" t="s">
        <v>779</v>
      </c>
      <c r="E59" s="60" t="s">
        <v>780</v>
      </c>
      <c r="F59" s="283">
        <v>14.45</v>
      </c>
      <c r="G59" s="284">
        <v>44403</v>
      </c>
      <c r="H59" s="351">
        <v>19.940000000000001</v>
      </c>
      <c r="I59" s="351">
        <v>20.625</v>
      </c>
      <c r="J59" s="352">
        <v>44435</v>
      </c>
      <c r="K59" s="286">
        <f t="shared" si="2"/>
        <v>0.37993079584775091</v>
      </c>
      <c r="L59" s="286">
        <f t="shared" si="3"/>
        <v>0.4273356401384083</v>
      </c>
      <c r="M59" s="353">
        <v>44435</v>
      </c>
      <c r="N59" s="328"/>
      <c r="O59" s="329">
        <v>30519276</v>
      </c>
      <c r="P59" s="329">
        <v>28780000</v>
      </c>
      <c r="Q59" s="329">
        <v>32</v>
      </c>
      <c r="R59" s="328" t="s">
        <v>781</v>
      </c>
      <c r="S59" s="330" t="s">
        <v>148</v>
      </c>
      <c r="T59" s="328" t="s">
        <v>154</v>
      </c>
      <c r="U59" s="22">
        <v>12</v>
      </c>
      <c r="V59" s="22">
        <v>113644</v>
      </c>
      <c r="W59" s="22"/>
      <c r="X59" s="22"/>
      <c r="Y59" s="54"/>
      <c r="Z59" s="54"/>
      <c r="AA59" s="54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</row>
    <row r="60" spans="1:95" ht="15.75" customHeight="1" thickBot="1" x14ac:dyDescent="0.3">
      <c r="A60" s="325" t="s">
        <v>732</v>
      </c>
      <c r="B60" s="281" t="s">
        <v>128</v>
      </c>
      <c r="C60" s="326">
        <v>1</v>
      </c>
      <c r="D60" s="281" t="s">
        <v>576</v>
      </c>
      <c r="E60" s="282"/>
      <c r="F60" s="283">
        <v>8.49</v>
      </c>
      <c r="G60" s="284">
        <v>44403</v>
      </c>
      <c r="H60" s="351">
        <v>9.19</v>
      </c>
      <c r="I60" s="318">
        <v>11.95</v>
      </c>
      <c r="J60" s="319">
        <v>44406</v>
      </c>
      <c r="K60" s="286">
        <f t="shared" si="2"/>
        <v>8.2449941107184843E-2</v>
      </c>
      <c r="L60" s="286">
        <f t="shared" si="3"/>
        <v>0.40753828032979955</v>
      </c>
      <c r="M60" s="353">
        <v>44435</v>
      </c>
      <c r="N60" s="328"/>
      <c r="O60" s="329">
        <v>101597998</v>
      </c>
      <c r="P60" s="329">
        <v>47860000</v>
      </c>
      <c r="Q60" s="329">
        <v>3</v>
      </c>
      <c r="R60" s="328" t="s">
        <v>211</v>
      </c>
      <c r="S60" s="330" t="s">
        <v>148</v>
      </c>
      <c r="T60" s="328" t="s">
        <v>144</v>
      </c>
      <c r="U60" s="22">
        <v>1344</v>
      </c>
      <c r="V60" s="22">
        <v>2743112</v>
      </c>
      <c r="W60" s="22"/>
      <c r="X60" s="22"/>
      <c r="Y60" s="54"/>
      <c r="Z60" s="54"/>
      <c r="AA60" s="54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</row>
    <row r="61" spans="1:95" ht="15.75" customHeight="1" thickBot="1" x14ac:dyDescent="0.3">
      <c r="A61" s="325" t="s">
        <v>732</v>
      </c>
      <c r="B61" s="281" t="s">
        <v>128</v>
      </c>
      <c r="C61" s="326">
        <v>1</v>
      </c>
      <c r="D61" s="281" t="s">
        <v>782</v>
      </c>
      <c r="E61" s="282"/>
      <c r="F61" s="283">
        <v>2.8</v>
      </c>
      <c r="G61" s="284">
        <v>44403</v>
      </c>
      <c r="H61" s="351">
        <v>2.74</v>
      </c>
      <c r="I61" s="318">
        <v>2.98</v>
      </c>
      <c r="J61" s="319">
        <v>44406</v>
      </c>
      <c r="K61" s="286">
        <f t="shared" si="2"/>
        <v>-2.1428571428571241E-2</v>
      </c>
      <c r="L61" s="286">
        <f t="shared" si="3"/>
        <v>6.4285714285714279E-2</v>
      </c>
      <c r="M61" s="353">
        <v>44435</v>
      </c>
      <c r="N61" s="328"/>
      <c r="O61" s="329">
        <v>110297304</v>
      </c>
      <c r="P61" s="329">
        <v>78240000</v>
      </c>
      <c r="Q61" s="329">
        <v>3</v>
      </c>
      <c r="R61" s="328" t="s">
        <v>131</v>
      </c>
      <c r="S61" s="330" t="s">
        <v>148</v>
      </c>
      <c r="T61" s="328" t="s">
        <v>271</v>
      </c>
      <c r="U61" s="22">
        <v>36</v>
      </c>
      <c r="V61" s="22">
        <v>632797</v>
      </c>
      <c r="W61" s="22"/>
      <c r="X61" s="22"/>
      <c r="Y61" s="54"/>
      <c r="Z61" s="54"/>
      <c r="AA61" s="54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</row>
    <row r="62" spans="1:95" ht="15.75" customHeight="1" thickBot="1" x14ac:dyDescent="0.3">
      <c r="A62" s="325" t="s">
        <v>732</v>
      </c>
      <c r="B62" s="281" t="s">
        <v>128</v>
      </c>
      <c r="C62" s="326">
        <v>1</v>
      </c>
      <c r="D62" s="281" t="s">
        <v>783</v>
      </c>
      <c r="E62" s="282"/>
      <c r="F62" s="283">
        <v>4.3499999999999996</v>
      </c>
      <c r="G62" s="284">
        <v>44399</v>
      </c>
      <c r="H62" s="351">
        <v>5.25</v>
      </c>
      <c r="I62" s="351">
        <v>5.3</v>
      </c>
      <c r="J62" s="352">
        <v>44435</v>
      </c>
      <c r="K62" s="286">
        <f t="shared" si="2"/>
        <v>0.20689655172413812</v>
      </c>
      <c r="L62" s="286">
        <f t="shared" si="3"/>
        <v>0.21839080459770122</v>
      </c>
      <c r="M62" s="353">
        <v>44435</v>
      </c>
      <c r="N62" s="328"/>
      <c r="O62" s="329">
        <v>29949905</v>
      </c>
      <c r="P62" s="329">
        <v>28540000</v>
      </c>
      <c r="Q62" s="329">
        <v>36</v>
      </c>
      <c r="R62" s="328" t="s">
        <v>131</v>
      </c>
      <c r="S62" s="330" t="s">
        <v>148</v>
      </c>
      <c r="T62" s="328" t="s">
        <v>217</v>
      </c>
      <c r="U62" s="22">
        <v>208</v>
      </c>
      <c r="V62" s="22">
        <v>272640</v>
      </c>
      <c r="W62" s="22"/>
      <c r="X62" s="22"/>
      <c r="Y62" s="54"/>
      <c r="Z62" s="54"/>
      <c r="AA62" s="54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</row>
    <row r="63" spans="1:95" ht="15.75" customHeight="1" thickBot="1" x14ac:dyDescent="0.3">
      <c r="A63" s="325" t="s">
        <v>745</v>
      </c>
      <c r="B63" s="281" t="s">
        <v>128</v>
      </c>
      <c r="C63" s="326">
        <v>0</v>
      </c>
      <c r="D63" s="281" t="s">
        <v>151</v>
      </c>
      <c r="E63" s="282"/>
      <c r="F63" s="283">
        <v>4.17</v>
      </c>
      <c r="G63" s="284">
        <v>44399</v>
      </c>
      <c r="H63" s="351">
        <v>3.35</v>
      </c>
      <c r="I63" s="351">
        <v>4.3499999999999996</v>
      </c>
      <c r="J63" s="352">
        <v>44418</v>
      </c>
      <c r="K63" s="286">
        <f t="shared" si="2"/>
        <v>-0.19664268585131894</v>
      </c>
      <c r="L63" s="286">
        <f t="shared" si="3"/>
        <v>4.3165467625899234E-2</v>
      </c>
      <c r="M63" s="353">
        <v>44435</v>
      </c>
      <c r="N63" s="328"/>
      <c r="O63" s="329">
        <v>11340476</v>
      </c>
      <c r="P63" s="329">
        <v>4260000</v>
      </c>
      <c r="Q63" s="329">
        <v>19</v>
      </c>
      <c r="R63" s="328" t="s">
        <v>152</v>
      </c>
      <c r="S63" s="330" t="s">
        <v>153</v>
      </c>
      <c r="T63" s="328" t="s">
        <v>154</v>
      </c>
      <c r="U63" s="22">
        <v>144</v>
      </c>
      <c r="V63" s="22">
        <v>68890</v>
      </c>
      <c r="W63" s="22"/>
      <c r="X63" s="22"/>
      <c r="Y63" s="54"/>
      <c r="Z63" s="54"/>
      <c r="AA63" s="54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</row>
    <row r="64" spans="1:95" ht="15.75" customHeight="1" thickBot="1" x14ac:dyDescent="0.3">
      <c r="A64" s="325" t="s">
        <v>732</v>
      </c>
      <c r="B64" s="281" t="s">
        <v>128</v>
      </c>
      <c r="C64" s="326">
        <v>2</v>
      </c>
      <c r="D64" s="281" t="s">
        <v>784</v>
      </c>
      <c r="E64" s="60" t="s">
        <v>785</v>
      </c>
      <c r="F64" s="283">
        <v>9.98</v>
      </c>
      <c r="G64" s="284">
        <v>44399</v>
      </c>
      <c r="H64" s="351">
        <v>8.75</v>
      </c>
      <c r="I64" s="318">
        <v>10.11</v>
      </c>
      <c r="J64" s="319">
        <v>44406</v>
      </c>
      <c r="K64" s="286">
        <f t="shared" si="2"/>
        <v>-0.12324649298597201</v>
      </c>
      <c r="L64" s="286">
        <f t="shared" si="3"/>
        <v>1.3026052104208263E-2</v>
      </c>
      <c r="M64" s="353">
        <v>44435</v>
      </c>
      <c r="N64" s="328"/>
      <c r="O64" s="329">
        <v>4104188</v>
      </c>
      <c r="P64" s="329">
        <v>2460000</v>
      </c>
      <c r="Q64" s="329">
        <v>7</v>
      </c>
      <c r="R64" s="328" t="s">
        <v>786</v>
      </c>
      <c r="S64" s="330" t="s">
        <v>148</v>
      </c>
      <c r="T64" s="328" t="s">
        <v>787</v>
      </c>
      <c r="U64" s="22">
        <v>800</v>
      </c>
      <c r="V64" s="22">
        <v>2559912</v>
      </c>
      <c r="W64" s="22"/>
      <c r="X64" s="22"/>
      <c r="Y64" s="54"/>
      <c r="Z64" s="54"/>
      <c r="AA64" s="54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</row>
    <row r="65" spans="1:95" ht="15.75" customHeight="1" thickBot="1" x14ac:dyDescent="0.3">
      <c r="A65" s="325" t="s">
        <v>732</v>
      </c>
      <c r="B65" s="281" t="s">
        <v>128</v>
      </c>
      <c r="C65" s="326">
        <v>0</v>
      </c>
      <c r="D65" s="281" t="s">
        <v>548</v>
      </c>
      <c r="E65" s="282"/>
      <c r="F65" s="283">
        <v>1.52</v>
      </c>
      <c r="G65" s="284">
        <v>44399</v>
      </c>
      <c r="H65" s="351">
        <v>1.34</v>
      </c>
      <c r="I65" s="318">
        <v>1.53</v>
      </c>
      <c r="J65" s="319">
        <v>44403</v>
      </c>
      <c r="K65" s="286">
        <f t="shared" si="2"/>
        <v>-0.11842105263157887</v>
      </c>
      <c r="L65" s="286">
        <f t="shared" si="3"/>
        <v>6.5789473684210176E-3</v>
      </c>
      <c r="M65" s="353">
        <v>44435</v>
      </c>
      <c r="N65" s="328"/>
      <c r="O65" s="329">
        <v>11637283</v>
      </c>
      <c r="P65" s="329">
        <v>6280000</v>
      </c>
      <c r="Q65" s="329">
        <v>4</v>
      </c>
      <c r="R65" s="328" t="s">
        <v>152</v>
      </c>
      <c r="S65" s="330" t="s">
        <v>281</v>
      </c>
      <c r="T65" s="328" t="s">
        <v>297</v>
      </c>
      <c r="U65" s="22">
        <v>36</v>
      </c>
      <c r="V65" s="22">
        <v>449065</v>
      </c>
      <c r="W65" s="22"/>
      <c r="X65" s="22"/>
      <c r="Y65" s="54"/>
      <c r="Z65" s="54"/>
      <c r="AA65" s="54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</row>
    <row r="66" spans="1:95" ht="15.75" customHeight="1" thickBot="1" x14ac:dyDescent="0.3">
      <c r="A66" s="325"/>
      <c r="B66" s="281" t="s">
        <v>128</v>
      </c>
      <c r="C66" s="326">
        <v>0</v>
      </c>
      <c r="D66" s="281" t="s">
        <v>788</v>
      </c>
      <c r="E66" s="282"/>
      <c r="F66" s="283">
        <v>8.9600000000000009</v>
      </c>
      <c r="G66" s="284">
        <v>44399</v>
      </c>
      <c r="H66" s="351">
        <v>8.06</v>
      </c>
      <c r="I66" s="318">
        <v>9.4</v>
      </c>
      <c r="J66" s="319">
        <v>44406</v>
      </c>
      <c r="K66" s="286">
        <f t="shared" si="2"/>
        <v>-0.1004464285714286</v>
      </c>
      <c r="L66" s="286">
        <f t="shared" si="3"/>
        <v>4.9107142857142794E-2</v>
      </c>
      <c r="M66" s="353">
        <v>44435</v>
      </c>
      <c r="N66" s="328"/>
      <c r="O66" s="329">
        <v>35700161</v>
      </c>
      <c r="P66" s="329">
        <v>31530000</v>
      </c>
      <c r="Q66" s="329">
        <v>7</v>
      </c>
      <c r="R66" s="328" t="s">
        <v>131</v>
      </c>
      <c r="S66" s="330" t="s">
        <v>473</v>
      </c>
      <c r="T66" s="328" t="s">
        <v>789</v>
      </c>
      <c r="U66" s="22">
        <v>132</v>
      </c>
      <c r="V66" s="22">
        <v>526136</v>
      </c>
      <c r="W66" s="22"/>
      <c r="X66" s="22"/>
      <c r="Y66" s="54"/>
      <c r="Z66" s="54"/>
      <c r="AA66" s="54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</row>
    <row r="67" spans="1:95" ht="15.75" customHeight="1" thickBot="1" x14ac:dyDescent="0.3">
      <c r="A67" s="325" t="s">
        <v>732</v>
      </c>
      <c r="B67" s="281" t="s">
        <v>128</v>
      </c>
      <c r="C67" s="326">
        <v>2</v>
      </c>
      <c r="D67" s="281" t="s">
        <v>400</v>
      </c>
      <c r="E67" s="330"/>
      <c r="F67" s="283">
        <v>1.45</v>
      </c>
      <c r="G67" s="284">
        <v>44399</v>
      </c>
      <c r="H67" s="351">
        <v>1.36</v>
      </c>
      <c r="I67" s="351">
        <v>2.27</v>
      </c>
      <c r="J67" s="352">
        <v>44420</v>
      </c>
      <c r="K67" s="286">
        <f t="shared" si="2"/>
        <v>-6.2068965517241281E-2</v>
      </c>
      <c r="L67" s="286">
        <f t="shared" si="3"/>
        <v>0.56551724137931036</v>
      </c>
      <c r="M67" s="353">
        <v>44435</v>
      </c>
      <c r="N67" s="328"/>
      <c r="O67" s="329">
        <v>9175288</v>
      </c>
      <c r="P67" s="329">
        <v>7900000</v>
      </c>
      <c r="Q67" s="329">
        <v>21</v>
      </c>
      <c r="R67" s="328" t="s">
        <v>152</v>
      </c>
      <c r="S67" s="330" t="s">
        <v>135</v>
      </c>
      <c r="T67" s="328" t="s">
        <v>133</v>
      </c>
      <c r="U67" s="22">
        <v>124</v>
      </c>
      <c r="V67" s="22">
        <v>1890957</v>
      </c>
      <c r="W67" s="22"/>
      <c r="X67" s="22"/>
      <c r="Y67" s="54"/>
      <c r="Z67" s="54"/>
      <c r="AA67" s="54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</row>
    <row r="68" spans="1:95" ht="15.75" customHeight="1" thickBot="1" x14ac:dyDescent="0.3">
      <c r="A68" s="325" t="s">
        <v>732</v>
      </c>
      <c r="B68" s="281" t="s">
        <v>128</v>
      </c>
      <c r="C68" s="326">
        <v>1</v>
      </c>
      <c r="D68" s="281" t="s">
        <v>790</v>
      </c>
      <c r="E68" s="282"/>
      <c r="F68" s="283">
        <v>6.66</v>
      </c>
      <c r="G68" s="284">
        <v>44398</v>
      </c>
      <c r="H68" s="351">
        <v>6.25</v>
      </c>
      <c r="I68" s="318">
        <v>8.5500000000000007</v>
      </c>
      <c r="J68" s="319">
        <v>44407</v>
      </c>
      <c r="K68" s="286">
        <f t="shared" si="2"/>
        <v>-6.1561561561561562E-2</v>
      </c>
      <c r="L68" s="286">
        <f t="shared" si="3"/>
        <v>0.28378378378378377</v>
      </c>
      <c r="M68" s="353">
        <v>44435</v>
      </c>
      <c r="N68" s="328"/>
      <c r="O68" s="329">
        <v>3301476</v>
      </c>
      <c r="P68" s="329"/>
      <c r="Q68" s="329">
        <v>9</v>
      </c>
      <c r="R68" s="328" t="s">
        <v>131</v>
      </c>
      <c r="S68" s="330" t="s">
        <v>148</v>
      </c>
      <c r="T68" s="328" t="s">
        <v>163</v>
      </c>
      <c r="U68" s="22">
        <v>404</v>
      </c>
      <c r="V68" s="22">
        <v>575155</v>
      </c>
      <c r="W68" s="22"/>
      <c r="X68" s="22"/>
      <c r="Y68" s="54"/>
      <c r="Z68" s="54"/>
      <c r="AA68" s="54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</row>
    <row r="69" spans="1:95" ht="15.75" customHeight="1" thickBot="1" x14ac:dyDescent="0.3">
      <c r="A69" s="325" t="s">
        <v>732</v>
      </c>
      <c r="B69" s="281" t="s">
        <v>128</v>
      </c>
      <c r="C69" s="326">
        <v>1</v>
      </c>
      <c r="D69" s="281" t="s">
        <v>174</v>
      </c>
      <c r="E69" s="282"/>
      <c r="F69" s="283">
        <v>2.66</v>
      </c>
      <c r="G69" s="284">
        <v>44398</v>
      </c>
      <c r="H69" s="351">
        <v>2.73</v>
      </c>
      <c r="I69" s="351">
        <v>3.04</v>
      </c>
      <c r="J69" s="352">
        <v>44433</v>
      </c>
      <c r="K69" s="286">
        <f t="shared" si="2"/>
        <v>2.631578947368407E-2</v>
      </c>
      <c r="L69" s="286">
        <f t="shared" si="3"/>
        <v>0.14285714285714279</v>
      </c>
      <c r="M69" s="353">
        <v>44435</v>
      </c>
      <c r="N69" s="328"/>
      <c r="O69" s="329">
        <v>17591773</v>
      </c>
      <c r="P69" s="329">
        <v>11690000</v>
      </c>
      <c r="Q69" s="329">
        <v>35</v>
      </c>
      <c r="R69" s="328" t="s">
        <v>131</v>
      </c>
      <c r="S69" s="330" t="s">
        <v>135</v>
      </c>
      <c r="T69" s="328" t="s">
        <v>133</v>
      </c>
      <c r="U69" s="22">
        <v>40</v>
      </c>
      <c r="V69" s="22">
        <v>590314</v>
      </c>
      <c r="W69" s="22"/>
      <c r="X69" s="22"/>
      <c r="Y69" s="54"/>
      <c r="Z69" s="54"/>
      <c r="AA69" s="54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</row>
    <row r="70" spans="1:95" ht="15.75" customHeight="1" thickBot="1" x14ac:dyDescent="0.3">
      <c r="A70" s="325"/>
      <c r="B70" s="281" t="s">
        <v>128</v>
      </c>
      <c r="C70" s="326">
        <v>1</v>
      </c>
      <c r="D70" s="281" t="s">
        <v>791</v>
      </c>
      <c r="E70" s="282"/>
      <c r="F70" s="283">
        <v>3.54</v>
      </c>
      <c r="G70" s="284">
        <v>44398</v>
      </c>
      <c r="H70" s="351">
        <v>3.14</v>
      </c>
      <c r="I70" s="351">
        <v>5.0999999999999996</v>
      </c>
      <c r="J70" s="352">
        <v>44410</v>
      </c>
      <c r="K70" s="286">
        <f t="shared" ref="K70:K101" si="4">IF(F70&lt;&gt;"", (H70/F70)-100%, "")</f>
        <v>-0.11299435028248583</v>
      </c>
      <c r="L70" s="286">
        <f t="shared" ref="L70:L101" si="5">IF(F70&lt;&gt;"", (I70/F70)-100%, "")</f>
        <v>0.44067796610169485</v>
      </c>
      <c r="M70" s="353">
        <v>44435</v>
      </c>
      <c r="N70" s="328"/>
      <c r="O70" s="329">
        <v>5561641</v>
      </c>
      <c r="P70" s="329"/>
      <c r="Q70" s="329">
        <v>12</v>
      </c>
      <c r="R70" s="328" t="s">
        <v>131</v>
      </c>
      <c r="S70" s="330" t="s">
        <v>148</v>
      </c>
      <c r="T70" s="328" t="s">
        <v>242</v>
      </c>
      <c r="U70" s="22">
        <v>128</v>
      </c>
      <c r="V70" s="22">
        <v>782033</v>
      </c>
      <c r="W70" s="22"/>
      <c r="X70" s="22"/>
      <c r="Y70" s="54"/>
      <c r="Z70" s="54"/>
      <c r="AA70" s="54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</row>
    <row r="71" spans="1:95" ht="15.75" customHeight="1" thickBot="1" x14ac:dyDescent="0.3">
      <c r="A71" s="325"/>
      <c r="B71" s="281" t="s">
        <v>128</v>
      </c>
      <c r="C71" s="326">
        <v>0</v>
      </c>
      <c r="D71" s="281" t="s">
        <v>162</v>
      </c>
      <c r="E71" s="330"/>
      <c r="F71" s="283">
        <v>1.35</v>
      </c>
      <c r="G71" s="284">
        <v>44397</v>
      </c>
      <c r="H71" s="351">
        <v>1.24</v>
      </c>
      <c r="I71" s="351">
        <v>1.91</v>
      </c>
      <c r="J71" s="352">
        <v>44417</v>
      </c>
      <c r="K71" s="286">
        <f t="shared" si="4"/>
        <v>-8.1481481481481599E-2</v>
      </c>
      <c r="L71" s="286">
        <f t="shared" si="5"/>
        <v>0.41481481481481475</v>
      </c>
      <c r="M71" s="353">
        <v>44435</v>
      </c>
      <c r="N71" s="328"/>
      <c r="O71" s="329">
        <v>11960505</v>
      </c>
      <c r="P71" s="329">
        <v>5650000</v>
      </c>
      <c r="Q71" s="329">
        <v>20</v>
      </c>
      <c r="R71" s="328" t="s">
        <v>131</v>
      </c>
      <c r="S71" s="330" t="s">
        <v>148</v>
      </c>
      <c r="T71" s="328" t="s">
        <v>163</v>
      </c>
      <c r="U71" s="22">
        <v>220</v>
      </c>
      <c r="V71" s="22">
        <v>1143521</v>
      </c>
      <c r="W71" s="22"/>
      <c r="X71" s="22"/>
      <c r="Y71" s="54"/>
      <c r="Z71" s="54"/>
      <c r="AA71" s="54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</row>
    <row r="72" spans="1:95" ht="15.75" customHeight="1" thickBot="1" x14ac:dyDescent="0.3">
      <c r="A72" s="325" t="s">
        <v>732</v>
      </c>
      <c r="B72" s="281" t="s">
        <v>128</v>
      </c>
      <c r="C72" s="326">
        <v>1</v>
      </c>
      <c r="D72" s="281" t="s">
        <v>792</v>
      </c>
      <c r="E72" s="60" t="s">
        <v>793</v>
      </c>
      <c r="F72" s="283">
        <v>16.91</v>
      </c>
      <c r="G72" s="284">
        <v>44397</v>
      </c>
      <c r="H72" s="351">
        <v>14.07</v>
      </c>
      <c r="I72" s="318">
        <v>18.95</v>
      </c>
      <c r="J72" s="319">
        <v>44400</v>
      </c>
      <c r="K72" s="286">
        <f t="shared" si="4"/>
        <v>-0.16794795978710819</v>
      </c>
      <c r="L72" s="286">
        <f t="shared" si="5"/>
        <v>0.12063867534003547</v>
      </c>
      <c r="M72" s="353">
        <v>44435</v>
      </c>
      <c r="N72" s="328"/>
      <c r="O72" s="329">
        <v>11500000</v>
      </c>
      <c r="P72" s="329">
        <v>10110000</v>
      </c>
      <c r="Q72" s="329">
        <v>3</v>
      </c>
      <c r="R72" s="328" t="s">
        <v>131</v>
      </c>
      <c r="S72" s="330" t="s">
        <v>135</v>
      </c>
      <c r="T72" s="328" t="s">
        <v>133</v>
      </c>
      <c r="U72" s="22">
        <v>476</v>
      </c>
      <c r="V72" s="22">
        <v>720227</v>
      </c>
      <c r="W72" s="22"/>
      <c r="X72" s="22"/>
      <c r="Y72" s="54"/>
      <c r="Z72" s="54"/>
      <c r="AA72" s="54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</row>
    <row r="73" spans="1:95" ht="15.75" customHeight="1" thickBot="1" x14ac:dyDescent="0.3">
      <c r="A73" s="325" t="s">
        <v>732</v>
      </c>
      <c r="B73" s="281" t="s">
        <v>128</v>
      </c>
      <c r="C73" s="326">
        <v>1</v>
      </c>
      <c r="D73" s="281" t="s">
        <v>794</v>
      </c>
      <c r="E73" s="282"/>
      <c r="F73" s="283">
        <v>5.12</v>
      </c>
      <c r="G73" s="284">
        <v>44397</v>
      </c>
      <c r="H73" s="351">
        <v>4.0199999999999996</v>
      </c>
      <c r="I73" s="285">
        <v>5.12</v>
      </c>
      <c r="J73" s="319">
        <v>44397</v>
      </c>
      <c r="K73" s="286">
        <f t="shared" si="4"/>
        <v>-0.21484375000000011</v>
      </c>
      <c r="L73" s="286">
        <f t="shared" si="5"/>
        <v>0</v>
      </c>
      <c r="M73" s="353">
        <v>44435</v>
      </c>
      <c r="N73" s="328"/>
      <c r="O73" s="329">
        <v>13150008</v>
      </c>
      <c r="P73" s="329">
        <v>7100000</v>
      </c>
      <c r="Q73" s="329"/>
      <c r="R73" s="328" t="s">
        <v>131</v>
      </c>
      <c r="S73" s="330" t="s">
        <v>135</v>
      </c>
      <c r="T73" s="328" t="s">
        <v>197</v>
      </c>
      <c r="U73" s="22">
        <v>60</v>
      </c>
      <c r="V73" s="22">
        <v>443437</v>
      </c>
      <c r="W73" s="22"/>
      <c r="X73" s="22"/>
      <c r="Y73" s="54"/>
      <c r="Z73" s="54"/>
      <c r="AA73" s="54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</row>
    <row r="74" spans="1:95" ht="15.75" customHeight="1" thickBot="1" x14ac:dyDescent="0.3">
      <c r="A74" s="325"/>
      <c r="B74" s="281" t="s">
        <v>128</v>
      </c>
      <c r="C74" s="326">
        <v>1</v>
      </c>
      <c r="D74" s="281" t="s">
        <v>795</v>
      </c>
      <c r="E74" s="330"/>
      <c r="F74" s="283">
        <v>5.08</v>
      </c>
      <c r="G74" s="284">
        <v>44397</v>
      </c>
      <c r="H74" s="351">
        <v>17.84</v>
      </c>
      <c r="I74" s="351">
        <v>36</v>
      </c>
      <c r="J74" s="352">
        <v>44426</v>
      </c>
      <c r="K74" s="286">
        <f t="shared" si="4"/>
        <v>2.5118110236220472</v>
      </c>
      <c r="L74" s="286">
        <f t="shared" si="5"/>
        <v>6.0866141732283463</v>
      </c>
      <c r="M74" s="353">
        <v>44435</v>
      </c>
      <c r="N74" s="328"/>
      <c r="O74" s="329">
        <v>4960153</v>
      </c>
      <c r="P74" s="329">
        <v>2060000</v>
      </c>
      <c r="Q74" s="329">
        <v>29</v>
      </c>
      <c r="R74" s="328" t="s">
        <v>131</v>
      </c>
      <c r="S74" s="330" t="s">
        <v>148</v>
      </c>
      <c r="T74" s="328" t="s">
        <v>154</v>
      </c>
      <c r="U74" s="22">
        <v>2004</v>
      </c>
      <c r="V74" s="22">
        <v>951697</v>
      </c>
      <c r="W74" s="22"/>
      <c r="X74" s="22"/>
      <c r="Y74" s="54"/>
      <c r="Z74" s="54"/>
      <c r="AA74" s="54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</row>
    <row r="75" spans="1:95" ht="15.75" customHeight="1" thickBot="1" x14ac:dyDescent="0.3">
      <c r="A75" s="325" t="s">
        <v>732</v>
      </c>
      <c r="B75" s="281" t="s">
        <v>128</v>
      </c>
      <c r="C75" s="326">
        <v>1</v>
      </c>
      <c r="D75" s="281" t="s">
        <v>796</v>
      </c>
      <c r="E75" s="60" t="s">
        <v>797</v>
      </c>
      <c r="F75" s="283">
        <v>3.14</v>
      </c>
      <c r="G75" s="284">
        <v>44397</v>
      </c>
      <c r="H75" s="351">
        <v>2.7</v>
      </c>
      <c r="I75" s="318">
        <v>3.27</v>
      </c>
      <c r="J75" s="319">
        <v>44399</v>
      </c>
      <c r="K75" s="286">
        <f t="shared" si="4"/>
        <v>-0.14012738853503182</v>
      </c>
      <c r="L75" s="286">
        <f t="shared" si="5"/>
        <v>4.1401273885350198E-2</v>
      </c>
      <c r="M75" s="353">
        <v>44435</v>
      </c>
      <c r="N75" s="328"/>
      <c r="O75" s="329">
        <v>28985814</v>
      </c>
      <c r="P75" s="329">
        <v>26490000</v>
      </c>
      <c r="Q75" s="329">
        <v>2</v>
      </c>
      <c r="R75" s="328" t="s">
        <v>131</v>
      </c>
      <c r="S75" s="330" t="s">
        <v>153</v>
      </c>
      <c r="T75" s="328" t="s">
        <v>154</v>
      </c>
      <c r="U75" s="22">
        <v>28</v>
      </c>
      <c r="V75" s="22">
        <v>359362</v>
      </c>
      <c r="W75" s="22"/>
      <c r="X75" s="22"/>
      <c r="Y75" s="54"/>
      <c r="Z75" s="54"/>
      <c r="AA75" s="54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</row>
    <row r="76" spans="1:95" ht="15.75" customHeight="1" thickBot="1" x14ac:dyDescent="0.3">
      <c r="A76" s="325" t="s">
        <v>732</v>
      </c>
      <c r="B76" s="281" t="s">
        <v>128</v>
      </c>
      <c r="C76" s="326">
        <v>1</v>
      </c>
      <c r="D76" s="281" t="s">
        <v>798</v>
      </c>
      <c r="E76" s="330"/>
      <c r="F76" s="283">
        <v>1.1399999999999999</v>
      </c>
      <c r="G76" s="284">
        <v>44396</v>
      </c>
      <c r="H76" s="351">
        <v>1.1599999999999999</v>
      </c>
      <c r="I76" s="318">
        <v>1.49</v>
      </c>
      <c r="J76" s="319">
        <v>44406</v>
      </c>
      <c r="K76" s="286">
        <f t="shared" si="4"/>
        <v>1.7543859649122862E-2</v>
      </c>
      <c r="L76" s="286">
        <f t="shared" si="5"/>
        <v>0.30701754385964919</v>
      </c>
      <c r="M76" s="353">
        <v>44435</v>
      </c>
      <c r="N76" s="328"/>
      <c r="O76" s="329">
        <v>97468755</v>
      </c>
      <c r="P76" s="329">
        <v>66019999.999999993</v>
      </c>
      <c r="Q76" s="329">
        <v>10</v>
      </c>
      <c r="R76" s="328" t="s">
        <v>131</v>
      </c>
      <c r="S76" s="330" t="s">
        <v>148</v>
      </c>
      <c r="T76" s="328" t="s">
        <v>154</v>
      </c>
      <c r="U76" s="22">
        <v>288</v>
      </c>
      <c r="V76" s="22">
        <v>3541110</v>
      </c>
      <c r="W76" s="22"/>
      <c r="X76" s="22"/>
      <c r="Y76" s="54"/>
      <c r="Z76" s="54"/>
      <c r="AA76" s="54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</row>
    <row r="77" spans="1:95" ht="15.75" customHeight="1" thickBot="1" x14ac:dyDescent="0.3">
      <c r="A77" s="325" t="s">
        <v>732</v>
      </c>
      <c r="B77" s="281" t="s">
        <v>128</v>
      </c>
      <c r="C77" s="326">
        <v>1</v>
      </c>
      <c r="D77" s="281" t="s">
        <v>178</v>
      </c>
      <c r="E77" s="60" t="s">
        <v>799</v>
      </c>
      <c r="F77" s="283">
        <v>3.32</v>
      </c>
      <c r="G77" s="284">
        <v>44396</v>
      </c>
      <c r="H77" s="351">
        <v>3.03</v>
      </c>
      <c r="I77" s="318">
        <v>4.97</v>
      </c>
      <c r="J77" s="319">
        <v>44399</v>
      </c>
      <c r="K77" s="286">
        <f t="shared" si="4"/>
        <v>-8.7349397590361422E-2</v>
      </c>
      <c r="L77" s="286">
        <f t="shared" si="5"/>
        <v>0.49698795180722888</v>
      </c>
      <c r="M77" s="353">
        <v>44435</v>
      </c>
      <c r="N77" s="328"/>
      <c r="O77" s="329">
        <v>13829601</v>
      </c>
      <c r="P77" s="329">
        <v>4850000</v>
      </c>
      <c r="Q77" s="329">
        <v>3</v>
      </c>
      <c r="R77" s="328" t="s">
        <v>131</v>
      </c>
      <c r="S77" s="330" t="s">
        <v>135</v>
      </c>
      <c r="T77" s="328" t="s">
        <v>133</v>
      </c>
      <c r="U77" s="22">
        <v>180</v>
      </c>
      <c r="V77" s="22">
        <v>291201</v>
      </c>
      <c r="W77" s="22"/>
      <c r="X77" s="22"/>
      <c r="Y77" s="54"/>
      <c r="Z77" s="54"/>
      <c r="AA77" s="54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</row>
    <row r="78" spans="1:95" ht="15.75" customHeight="1" thickBot="1" x14ac:dyDescent="0.3">
      <c r="A78" s="325" t="s">
        <v>800</v>
      </c>
      <c r="B78" s="281" t="s">
        <v>128</v>
      </c>
      <c r="C78" s="326">
        <v>0</v>
      </c>
      <c r="D78" s="281" t="s">
        <v>180</v>
      </c>
      <c r="E78" s="335" t="s">
        <v>801</v>
      </c>
      <c r="F78" s="283">
        <v>11.04</v>
      </c>
      <c r="G78" s="284">
        <v>44396</v>
      </c>
      <c r="H78" s="351">
        <v>8.64</v>
      </c>
      <c r="I78" s="318">
        <v>13</v>
      </c>
      <c r="J78" s="319">
        <v>44398</v>
      </c>
      <c r="K78" s="286">
        <f t="shared" si="4"/>
        <v>-0.21739130434782594</v>
      </c>
      <c r="L78" s="286">
        <f t="shared" si="5"/>
        <v>0.17753623188405809</v>
      </c>
      <c r="M78" s="353">
        <v>44435</v>
      </c>
      <c r="N78" s="328"/>
      <c r="O78" s="329">
        <v>21127718</v>
      </c>
      <c r="P78" s="329">
        <v>11000000</v>
      </c>
      <c r="Q78" s="329">
        <v>2</v>
      </c>
      <c r="R78" s="328" t="s">
        <v>131</v>
      </c>
      <c r="S78" s="330" t="s">
        <v>148</v>
      </c>
      <c r="T78" s="328" t="s">
        <v>154</v>
      </c>
      <c r="U78" s="22">
        <v>44</v>
      </c>
      <c r="V78" s="22">
        <v>483117</v>
      </c>
      <c r="W78" s="22"/>
      <c r="X78" s="22"/>
      <c r="Y78" s="54"/>
      <c r="Z78" s="54"/>
      <c r="AA78" s="54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</row>
    <row r="79" spans="1:95" ht="15.75" customHeight="1" thickBot="1" x14ac:dyDescent="0.3">
      <c r="A79" s="325" t="s">
        <v>800</v>
      </c>
      <c r="B79" s="281" t="s">
        <v>128</v>
      </c>
      <c r="C79" s="326">
        <v>0</v>
      </c>
      <c r="D79" s="281" t="s">
        <v>802</v>
      </c>
      <c r="E79" s="335" t="s">
        <v>803</v>
      </c>
      <c r="F79" s="283">
        <v>1.74</v>
      </c>
      <c r="G79" s="284">
        <v>44396</v>
      </c>
      <c r="H79" s="351">
        <v>1.89</v>
      </c>
      <c r="I79" s="351">
        <v>2.0699999999999998</v>
      </c>
      <c r="J79" s="352">
        <v>44432</v>
      </c>
      <c r="K79" s="286">
        <f t="shared" si="4"/>
        <v>8.6206896551723977E-2</v>
      </c>
      <c r="L79" s="286">
        <f t="shared" si="5"/>
        <v>0.18965517241379293</v>
      </c>
      <c r="M79" s="353">
        <v>44435</v>
      </c>
      <c r="N79" s="328"/>
      <c r="O79" s="329">
        <v>41672695</v>
      </c>
      <c r="P79" s="329">
        <v>38220000</v>
      </c>
      <c r="Q79" s="329">
        <v>36</v>
      </c>
      <c r="R79" s="328" t="s">
        <v>131</v>
      </c>
      <c r="S79" s="330" t="s">
        <v>148</v>
      </c>
      <c r="T79" s="328" t="s">
        <v>217</v>
      </c>
      <c r="U79" s="22">
        <v>76</v>
      </c>
      <c r="V79" s="22">
        <v>450499</v>
      </c>
      <c r="W79" s="22"/>
      <c r="X79" s="22"/>
      <c r="Y79" s="54"/>
      <c r="Z79" s="54"/>
      <c r="AA79" s="54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</row>
    <row r="80" spans="1:95" ht="15.75" customHeight="1" thickBot="1" x14ac:dyDescent="0.3">
      <c r="A80" s="325" t="s">
        <v>745</v>
      </c>
      <c r="B80" s="281" t="s">
        <v>128</v>
      </c>
      <c r="C80" s="326">
        <v>0</v>
      </c>
      <c r="D80" s="281" t="s">
        <v>804</v>
      </c>
      <c r="E80" s="282"/>
      <c r="F80" s="283">
        <v>1.1499999999999999</v>
      </c>
      <c r="G80" s="284">
        <v>44396</v>
      </c>
      <c r="H80" s="351">
        <v>1.0900000000000001</v>
      </c>
      <c r="I80" s="318">
        <v>1.25</v>
      </c>
      <c r="J80" s="319">
        <v>44399</v>
      </c>
      <c r="K80" s="286">
        <f t="shared" si="4"/>
        <v>-5.2173913043478071E-2</v>
      </c>
      <c r="L80" s="286">
        <f t="shared" si="5"/>
        <v>8.6956521739130599E-2</v>
      </c>
      <c r="M80" s="353">
        <v>44435</v>
      </c>
      <c r="N80" s="328"/>
      <c r="O80" s="329">
        <v>65339695</v>
      </c>
      <c r="P80" s="329">
        <v>48150000</v>
      </c>
      <c r="Q80" s="329">
        <v>3</v>
      </c>
      <c r="R80" s="328" t="s">
        <v>131</v>
      </c>
      <c r="S80" s="330" t="s">
        <v>148</v>
      </c>
      <c r="T80" s="328" t="s">
        <v>318</v>
      </c>
      <c r="U80" s="22">
        <v>232</v>
      </c>
      <c r="V80" s="22">
        <v>1286173</v>
      </c>
      <c r="W80" s="22"/>
      <c r="X80" s="22"/>
      <c r="Y80" s="54"/>
      <c r="Z80" s="54"/>
      <c r="AA80" s="54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</row>
    <row r="81" spans="1:95" ht="15.75" customHeight="1" thickBot="1" x14ac:dyDescent="0.3">
      <c r="A81" s="325" t="s">
        <v>800</v>
      </c>
      <c r="B81" s="281" t="s">
        <v>128</v>
      </c>
      <c r="C81" s="326">
        <v>2</v>
      </c>
      <c r="D81" s="281" t="s">
        <v>805</v>
      </c>
      <c r="E81" s="330"/>
      <c r="F81" s="283">
        <v>3.05</v>
      </c>
      <c r="G81" s="284">
        <v>44396</v>
      </c>
      <c r="H81" s="351">
        <v>3.27</v>
      </c>
      <c r="I81" s="351">
        <v>4.17</v>
      </c>
      <c r="J81" s="352">
        <v>44434</v>
      </c>
      <c r="K81" s="286">
        <f t="shared" si="4"/>
        <v>7.2131147540983598E-2</v>
      </c>
      <c r="L81" s="286">
        <f t="shared" si="5"/>
        <v>0.36721311475409846</v>
      </c>
      <c r="M81" s="353">
        <v>44435</v>
      </c>
      <c r="N81" s="328"/>
      <c r="O81" s="329">
        <v>22707063</v>
      </c>
      <c r="P81" s="329"/>
      <c r="Q81" s="329">
        <v>38</v>
      </c>
      <c r="R81" s="328" t="s">
        <v>131</v>
      </c>
      <c r="S81" s="330" t="s">
        <v>148</v>
      </c>
      <c r="T81" s="328" t="s">
        <v>217</v>
      </c>
      <c r="U81" s="22">
        <v>96</v>
      </c>
      <c r="V81" s="22">
        <v>617476</v>
      </c>
      <c r="W81" s="22"/>
      <c r="X81" s="22"/>
      <c r="Y81" s="54"/>
      <c r="Z81" s="54"/>
      <c r="AA81" s="54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</row>
    <row r="82" spans="1:95" ht="15.75" customHeight="1" thickBot="1" x14ac:dyDescent="0.3">
      <c r="A82" s="325" t="s">
        <v>806</v>
      </c>
      <c r="B82" s="281" t="s">
        <v>128</v>
      </c>
      <c r="C82" s="326">
        <v>0</v>
      </c>
      <c r="D82" s="281" t="s">
        <v>807</v>
      </c>
      <c r="E82" s="60" t="s">
        <v>808</v>
      </c>
      <c r="F82" s="283">
        <v>14.5</v>
      </c>
      <c r="G82" s="284">
        <v>44396</v>
      </c>
      <c r="H82" s="351">
        <v>12.6</v>
      </c>
      <c r="I82" s="318">
        <v>15.72</v>
      </c>
      <c r="J82" s="319">
        <v>44398</v>
      </c>
      <c r="K82" s="286">
        <f t="shared" si="4"/>
        <v>-0.13103448275862073</v>
      </c>
      <c r="L82" s="286">
        <f t="shared" si="5"/>
        <v>8.4137931034482749E-2</v>
      </c>
      <c r="M82" s="353">
        <v>44435</v>
      </c>
      <c r="N82" s="328"/>
      <c r="O82" s="329">
        <v>63072820</v>
      </c>
      <c r="P82" s="329">
        <v>58660000</v>
      </c>
      <c r="Q82" s="329">
        <v>2</v>
      </c>
      <c r="R82" s="328" t="s">
        <v>131</v>
      </c>
      <c r="S82" s="330" t="s">
        <v>148</v>
      </c>
      <c r="T82" s="328" t="s">
        <v>536</v>
      </c>
      <c r="U82" s="22">
        <v>384</v>
      </c>
      <c r="V82" s="22">
        <v>4838914</v>
      </c>
      <c r="W82" s="22"/>
      <c r="X82" s="22"/>
      <c r="Y82" s="54"/>
      <c r="Z82" s="54"/>
      <c r="AA82" s="54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</row>
    <row r="83" spans="1:95" ht="15.75" customHeight="1" thickBot="1" x14ac:dyDescent="0.3">
      <c r="A83" s="325" t="s">
        <v>732</v>
      </c>
      <c r="B83" s="281" t="s">
        <v>128</v>
      </c>
      <c r="C83" s="326">
        <v>0</v>
      </c>
      <c r="D83" s="281" t="s">
        <v>809</v>
      </c>
      <c r="E83" s="282"/>
      <c r="F83" s="283">
        <v>19.170000000000002</v>
      </c>
      <c r="G83" s="284">
        <v>44392</v>
      </c>
      <c r="H83" s="351">
        <v>15.8</v>
      </c>
      <c r="I83" s="318">
        <v>20.96</v>
      </c>
      <c r="J83" s="319">
        <v>44393</v>
      </c>
      <c r="K83" s="286">
        <f t="shared" si="4"/>
        <v>-0.17579551382368286</v>
      </c>
      <c r="L83" s="286">
        <f t="shared" si="5"/>
        <v>9.3375065206050989E-2</v>
      </c>
      <c r="M83" s="353">
        <v>44435</v>
      </c>
      <c r="N83" s="328"/>
      <c r="O83" s="329">
        <v>10697997</v>
      </c>
      <c r="P83" s="329">
        <v>10990000</v>
      </c>
      <c r="Q83" s="329">
        <v>1</v>
      </c>
      <c r="R83" s="328" t="s">
        <v>147</v>
      </c>
      <c r="S83" s="330" t="s">
        <v>148</v>
      </c>
      <c r="T83" s="328" t="s">
        <v>154</v>
      </c>
      <c r="U83" s="22">
        <v>216</v>
      </c>
      <c r="V83" s="22">
        <v>345344</v>
      </c>
      <c r="W83" s="22"/>
      <c r="X83" s="22"/>
      <c r="Y83" s="54"/>
      <c r="Z83" s="54"/>
      <c r="AA83" s="54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</row>
    <row r="84" spans="1:95" ht="15.75" customHeight="1" thickBot="1" x14ac:dyDescent="0.3">
      <c r="A84" s="325" t="s">
        <v>810</v>
      </c>
      <c r="B84" s="281" t="s">
        <v>128</v>
      </c>
      <c r="C84" s="326">
        <v>0</v>
      </c>
      <c r="D84" s="281" t="s">
        <v>185</v>
      </c>
      <c r="E84" s="330"/>
      <c r="F84" s="283">
        <v>1.92</v>
      </c>
      <c r="G84" s="284">
        <v>44392</v>
      </c>
      <c r="H84" s="351">
        <v>2.19</v>
      </c>
      <c r="I84" s="351">
        <v>2.2200000000000002</v>
      </c>
      <c r="J84" s="352">
        <v>44435</v>
      </c>
      <c r="K84" s="286">
        <f t="shared" si="4"/>
        <v>0.140625</v>
      </c>
      <c r="L84" s="286">
        <f t="shared" si="5"/>
        <v>0.15625000000000022</v>
      </c>
      <c r="M84" s="353">
        <v>44435</v>
      </c>
      <c r="N84" s="328"/>
      <c r="O84" s="329">
        <v>135473947</v>
      </c>
      <c r="P84" s="329">
        <v>123170000</v>
      </c>
      <c r="Q84" s="329">
        <v>43</v>
      </c>
      <c r="R84" s="328" t="s">
        <v>131</v>
      </c>
      <c r="S84" s="330" t="s">
        <v>148</v>
      </c>
      <c r="T84" s="328" t="s">
        <v>154</v>
      </c>
      <c r="U84" s="22">
        <v>140</v>
      </c>
      <c r="V84" s="22">
        <v>4598713</v>
      </c>
      <c r="W84" s="22"/>
      <c r="X84" s="22"/>
      <c r="Y84" s="54"/>
      <c r="Z84" s="54"/>
      <c r="AA84" s="54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</row>
    <row r="85" spans="1:95" ht="15.75" customHeight="1" thickBot="1" x14ac:dyDescent="0.3">
      <c r="A85" s="325" t="s">
        <v>732</v>
      </c>
      <c r="B85" s="281" t="s">
        <v>128</v>
      </c>
      <c r="C85" s="326">
        <v>1</v>
      </c>
      <c r="D85" s="281" t="s">
        <v>811</v>
      </c>
      <c r="E85" s="282"/>
      <c r="F85" s="283">
        <v>9</v>
      </c>
      <c r="G85" s="284">
        <v>44392</v>
      </c>
      <c r="H85" s="351">
        <v>7.46</v>
      </c>
      <c r="I85" s="318">
        <v>9.48</v>
      </c>
      <c r="J85" s="319">
        <v>44399</v>
      </c>
      <c r="K85" s="286">
        <f t="shared" si="4"/>
        <v>-0.1711111111111111</v>
      </c>
      <c r="L85" s="286">
        <f t="shared" si="5"/>
        <v>5.3333333333333455E-2</v>
      </c>
      <c r="M85" s="353">
        <v>44435</v>
      </c>
      <c r="N85" s="328"/>
      <c r="O85" s="329">
        <v>6358661</v>
      </c>
      <c r="P85" s="329">
        <v>5720000</v>
      </c>
      <c r="Q85" s="329">
        <v>7</v>
      </c>
      <c r="R85" s="328" t="s">
        <v>131</v>
      </c>
      <c r="S85" s="330" t="s">
        <v>157</v>
      </c>
      <c r="T85" s="328" t="s">
        <v>271</v>
      </c>
      <c r="U85" s="22">
        <v>32</v>
      </c>
      <c r="V85" s="22">
        <v>101931</v>
      </c>
      <c r="W85" s="22"/>
      <c r="X85" s="22"/>
      <c r="Y85" s="54"/>
      <c r="Z85" s="54"/>
      <c r="AA85" s="54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</row>
    <row r="86" spans="1:95" ht="15.75" customHeight="1" thickBot="1" x14ac:dyDescent="0.3">
      <c r="A86" s="325"/>
      <c r="B86" s="281" t="s">
        <v>128</v>
      </c>
      <c r="C86" s="326">
        <v>0</v>
      </c>
      <c r="D86" s="281" t="s">
        <v>812</v>
      </c>
      <c r="E86" s="282"/>
      <c r="F86" s="283">
        <v>13.62</v>
      </c>
      <c r="G86" s="284">
        <v>44392</v>
      </c>
      <c r="H86" s="351">
        <v>14.71</v>
      </c>
      <c r="I86" s="351">
        <v>16.38</v>
      </c>
      <c r="J86" s="352">
        <v>44417</v>
      </c>
      <c r="K86" s="286">
        <f t="shared" si="4"/>
        <v>8.0029368575624149E-2</v>
      </c>
      <c r="L86" s="286">
        <f t="shared" si="5"/>
        <v>0.20264317180616742</v>
      </c>
      <c r="M86" s="353">
        <v>44435</v>
      </c>
      <c r="N86" s="328"/>
      <c r="O86" s="329">
        <v>157951717</v>
      </c>
      <c r="P86" s="329">
        <v>156900000</v>
      </c>
      <c r="Q86" s="329">
        <v>25</v>
      </c>
      <c r="R86" s="328" t="s">
        <v>131</v>
      </c>
      <c r="S86" s="330" t="s">
        <v>148</v>
      </c>
      <c r="T86" s="328" t="s">
        <v>599</v>
      </c>
      <c r="U86" s="22">
        <v>1648</v>
      </c>
      <c r="V86" s="22">
        <v>4395876</v>
      </c>
      <c r="W86" s="22"/>
      <c r="X86" s="22"/>
      <c r="Y86" s="54"/>
      <c r="Z86" s="54"/>
      <c r="AA86" s="54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</row>
    <row r="87" spans="1:95" ht="15.75" customHeight="1" thickBot="1" x14ac:dyDescent="0.3">
      <c r="A87" s="325"/>
      <c r="B87" s="281" t="s">
        <v>181</v>
      </c>
      <c r="C87" s="326">
        <v>0</v>
      </c>
      <c r="D87" s="281" t="s">
        <v>183</v>
      </c>
      <c r="E87" s="60" t="s">
        <v>813</v>
      </c>
      <c r="F87" s="283">
        <v>1E-3</v>
      </c>
      <c r="G87" s="284">
        <v>44392</v>
      </c>
      <c r="H87" s="351">
        <v>8.0000000000000004E-4</v>
      </c>
      <c r="I87" s="318">
        <v>1.1999999999999999E-3</v>
      </c>
      <c r="J87" s="319">
        <v>44400</v>
      </c>
      <c r="K87" s="286">
        <f t="shared" si="4"/>
        <v>-0.19999999999999996</v>
      </c>
      <c r="L87" s="286">
        <f t="shared" si="5"/>
        <v>0.19999999999999996</v>
      </c>
      <c r="M87" s="353">
        <v>44435</v>
      </c>
      <c r="N87" s="328"/>
      <c r="O87" s="329">
        <v>6818841030</v>
      </c>
      <c r="P87" s="329"/>
      <c r="Q87" s="329">
        <v>8</v>
      </c>
      <c r="R87" s="328"/>
      <c r="S87" s="330"/>
      <c r="T87" s="328"/>
      <c r="U87" s="22">
        <v>172</v>
      </c>
      <c r="V87" s="22">
        <v>117248540</v>
      </c>
      <c r="W87" s="22"/>
      <c r="X87" s="22"/>
      <c r="Y87" s="54"/>
      <c r="Z87" s="54"/>
      <c r="AA87" s="54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</row>
    <row r="88" spans="1:95" ht="15.75" customHeight="1" thickBot="1" x14ac:dyDescent="0.3">
      <c r="A88" s="325"/>
      <c r="B88" s="281" t="s">
        <v>181</v>
      </c>
      <c r="C88" s="326">
        <v>0</v>
      </c>
      <c r="D88" s="281" t="s">
        <v>456</v>
      </c>
      <c r="E88" s="282"/>
      <c r="F88" s="283">
        <v>5.4999999999999997E-3</v>
      </c>
      <c r="G88" s="284">
        <v>44392</v>
      </c>
      <c r="H88" s="351">
        <v>2.2000000000000001E-3</v>
      </c>
      <c r="I88" s="318">
        <v>5.7000000000000002E-3</v>
      </c>
      <c r="J88" s="319">
        <v>44404</v>
      </c>
      <c r="K88" s="286">
        <f t="shared" si="4"/>
        <v>-0.6</v>
      </c>
      <c r="L88" s="286">
        <f t="shared" si="5"/>
        <v>3.6363636363636376E-2</v>
      </c>
      <c r="M88" s="353">
        <v>44435</v>
      </c>
      <c r="N88" s="328"/>
      <c r="O88" s="329">
        <v>369462271</v>
      </c>
      <c r="P88" s="329"/>
      <c r="Q88" s="329">
        <v>12</v>
      </c>
      <c r="R88" s="328"/>
      <c r="S88" s="330" t="s">
        <v>148</v>
      </c>
      <c r="T88" s="328"/>
      <c r="U88" s="22">
        <v>316</v>
      </c>
      <c r="V88" s="22">
        <v>2367575</v>
      </c>
      <c r="W88" s="22"/>
      <c r="X88" s="22"/>
      <c r="Y88" s="54"/>
      <c r="Z88" s="54"/>
      <c r="AA88" s="54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</row>
    <row r="89" spans="1:95" ht="15.75" customHeight="1" thickBot="1" x14ac:dyDescent="0.3">
      <c r="A89" s="325" t="s">
        <v>732</v>
      </c>
      <c r="B89" s="281" t="s">
        <v>128</v>
      </c>
      <c r="C89" s="326">
        <v>1</v>
      </c>
      <c r="D89" s="281" t="s">
        <v>814</v>
      </c>
      <c r="E89" s="282"/>
      <c r="F89" s="283">
        <v>15.44</v>
      </c>
      <c r="G89" s="284">
        <v>44392</v>
      </c>
      <c r="H89" s="351">
        <v>15.37</v>
      </c>
      <c r="I89" s="318">
        <v>16.489999999999998</v>
      </c>
      <c r="J89" s="319">
        <v>44393</v>
      </c>
      <c r="K89" s="286">
        <f t="shared" si="4"/>
        <v>-4.5336787564767E-3</v>
      </c>
      <c r="L89" s="286">
        <f t="shared" si="5"/>
        <v>6.8005181347150279E-2</v>
      </c>
      <c r="M89" s="353">
        <v>44435</v>
      </c>
      <c r="N89" s="328"/>
      <c r="O89" s="329">
        <v>37131633</v>
      </c>
      <c r="P89" s="329">
        <v>33140000</v>
      </c>
      <c r="Q89" s="329">
        <v>1</v>
      </c>
      <c r="R89" s="328" t="s">
        <v>131</v>
      </c>
      <c r="S89" s="330" t="s">
        <v>157</v>
      </c>
      <c r="T89" s="328" t="s">
        <v>154</v>
      </c>
      <c r="U89" s="22">
        <v>48</v>
      </c>
      <c r="V89" s="22">
        <v>156174</v>
      </c>
      <c r="W89" s="22"/>
      <c r="X89" s="22"/>
      <c r="Y89" s="54"/>
      <c r="Z89" s="54"/>
      <c r="AA89" s="54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</row>
    <row r="90" spans="1:95" ht="15.75" customHeight="1" thickBot="1" x14ac:dyDescent="0.3">
      <c r="A90" s="325" t="s">
        <v>810</v>
      </c>
      <c r="B90" s="281" t="s">
        <v>128</v>
      </c>
      <c r="C90" s="326">
        <v>0</v>
      </c>
      <c r="D90" s="281" t="s">
        <v>815</v>
      </c>
      <c r="E90" s="282"/>
      <c r="F90" s="283">
        <v>0.89</v>
      </c>
      <c r="G90" s="284">
        <v>44391</v>
      </c>
      <c r="H90" s="351">
        <v>0.77829999999999999</v>
      </c>
      <c r="I90" s="318">
        <v>0.93410000000000004</v>
      </c>
      <c r="J90" s="319">
        <v>44392</v>
      </c>
      <c r="K90" s="286">
        <f t="shared" si="4"/>
        <v>-0.12550561797752813</v>
      </c>
      <c r="L90" s="286">
        <f t="shared" si="5"/>
        <v>4.9550561797752746E-2</v>
      </c>
      <c r="M90" s="353">
        <v>44435</v>
      </c>
      <c r="N90" s="328"/>
      <c r="O90" s="329">
        <v>115163203</v>
      </c>
      <c r="P90" s="329">
        <v>56540000</v>
      </c>
      <c r="Q90" s="329">
        <v>1</v>
      </c>
      <c r="R90" s="328" t="s">
        <v>152</v>
      </c>
      <c r="S90" s="330" t="s">
        <v>148</v>
      </c>
      <c r="T90" s="328" t="s">
        <v>133</v>
      </c>
      <c r="U90" s="22">
        <v>1200</v>
      </c>
      <c r="V90" s="22">
        <v>18054510</v>
      </c>
      <c r="W90" s="22"/>
      <c r="X90" s="22"/>
      <c r="Y90" s="54"/>
      <c r="Z90" s="54"/>
      <c r="AA90" s="54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</row>
    <row r="91" spans="1:95" ht="15.75" customHeight="1" thickBot="1" x14ac:dyDescent="0.3">
      <c r="A91" s="325" t="s">
        <v>732</v>
      </c>
      <c r="B91" s="281" t="s">
        <v>128</v>
      </c>
      <c r="C91" s="326">
        <v>1</v>
      </c>
      <c r="D91" s="281" t="s">
        <v>816</v>
      </c>
      <c r="E91" s="282"/>
      <c r="F91" s="283">
        <v>2.9</v>
      </c>
      <c r="G91" s="284">
        <v>44391</v>
      </c>
      <c r="H91" s="351">
        <v>3.22</v>
      </c>
      <c r="I91" s="351">
        <v>6.22</v>
      </c>
      <c r="J91" s="352">
        <v>44410</v>
      </c>
      <c r="K91" s="286">
        <f t="shared" si="4"/>
        <v>0.1103448275862069</v>
      </c>
      <c r="L91" s="286">
        <f t="shared" si="5"/>
        <v>1.1448275862068966</v>
      </c>
      <c r="M91" s="353">
        <v>44435</v>
      </c>
      <c r="N91" s="328"/>
      <c r="O91" s="329">
        <v>14810660</v>
      </c>
      <c r="P91" s="329">
        <v>3980000</v>
      </c>
      <c r="Q91" s="329">
        <v>19</v>
      </c>
      <c r="R91" s="328" t="s">
        <v>152</v>
      </c>
      <c r="S91" s="330" t="s">
        <v>148</v>
      </c>
      <c r="T91" s="328" t="s">
        <v>817</v>
      </c>
      <c r="U91" s="22">
        <v>116</v>
      </c>
      <c r="V91" s="22">
        <v>2493071</v>
      </c>
      <c r="W91" s="22"/>
      <c r="X91" s="22"/>
      <c r="Y91" s="54"/>
      <c r="Z91" s="54"/>
      <c r="AA91" s="54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</row>
    <row r="92" spans="1:95" ht="15.75" customHeight="1" thickBot="1" x14ac:dyDescent="0.3">
      <c r="A92" s="325" t="s">
        <v>732</v>
      </c>
      <c r="B92" s="281" t="s">
        <v>128</v>
      </c>
      <c r="C92" s="326">
        <v>2</v>
      </c>
      <c r="D92" s="281" t="s">
        <v>818</v>
      </c>
      <c r="E92" s="282"/>
      <c r="F92" s="283">
        <v>4.29</v>
      </c>
      <c r="G92" s="284">
        <v>44391</v>
      </c>
      <c r="H92" s="351">
        <v>3.28</v>
      </c>
      <c r="I92" s="285">
        <v>4.29</v>
      </c>
      <c r="J92" s="319">
        <v>44391</v>
      </c>
      <c r="K92" s="286">
        <f t="shared" si="4"/>
        <v>-0.23543123543123545</v>
      </c>
      <c r="L92" s="286">
        <f t="shared" si="5"/>
        <v>0</v>
      </c>
      <c r="M92" s="353">
        <v>44435</v>
      </c>
      <c r="N92" s="328"/>
      <c r="O92" s="329">
        <v>12382122</v>
      </c>
      <c r="P92" s="329">
        <v>6570000</v>
      </c>
      <c r="Q92" s="329"/>
      <c r="R92" s="328" t="s">
        <v>131</v>
      </c>
      <c r="S92" s="330" t="s">
        <v>148</v>
      </c>
      <c r="T92" s="328" t="s">
        <v>242</v>
      </c>
      <c r="U92" s="22">
        <v>240</v>
      </c>
      <c r="V92" s="22">
        <v>6275836</v>
      </c>
      <c r="W92" s="22"/>
      <c r="X92" s="22"/>
      <c r="Y92" s="54"/>
      <c r="Z92" s="54"/>
      <c r="AA92" s="54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</row>
    <row r="93" spans="1:95" ht="15.75" customHeight="1" thickBot="1" x14ac:dyDescent="0.3">
      <c r="A93" s="325" t="s">
        <v>745</v>
      </c>
      <c r="B93" s="281" t="s">
        <v>128</v>
      </c>
      <c r="C93" s="326">
        <v>1</v>
      </c>
      <c r="D93" s="281" t="s">
        <v>460</v>
      </c>
      <c r="E93" s="282"/>
      <c r="F93" s="283">
        <v>0.57999999999999996</v>
      </c>
      <c r="G93" s="284">
        <v>44391</v>
      </c>
      <c r="H93" s="351">
        <v>0.49130000000000001</v>
      </c>
      <c r="I93" s="285">
        <v>0.57999999999999996</v>
      </c>
      <c r="J93" s="319">
        <v>44391</v>
      </c>
      <c r="K93" s="286">
        <f t="shared" si="4"/>
        <v>-0.15293103448275858</v>
      </c>
      <c r="L93" s="286">
        <f t="shared" si="5"/>
        <v>0</v>
      </c>
      <c r="M93" s="353">
        <v>44435</v>
      </c>
      <c r="N93" s="328"/>
      <c r="O93" s="329">
        <v>113500455</v>
      </c>
      <c r="P93" s="329">
        <v>70160000</v>
      </c>
      <c r="Q93" s="329"/>
      <c r="R93" s="328" t="s">
        <v>131</v>
      </c>
      <c r="S93" s="330" t="s">
        <v>157</v>
      </c>
      <c r="T93" s="328" t="s">
        <v>197</v>
      </c>
      <c r="U93" s="22">
        <v>1516</v>
      </c>
      <c r="V93" s="22">
        <v>8518991</v>
      </c>
      <c r="W93" s="22"/>
      <c r="X93" s="22"/>
      <c r="Y93" s="54"/>
      <c r="Z93" s="54"/>
      <c r="AA93" s="54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</row>
    <row r="94" spans="1:95" ht="15.75" customHeight="1" thickBot="1" x14ac:dyDescent="0.3">
      <c r="A94" s="325" t="s">
        <v>732</v>
      </c>
      <c r="B94" s="281" t="s">
        <v>128</v>
      </c>
      <c r="C94" s="326">
        <v>1</v>
      </c>
      <c r="D94" s="281" t="s">
        <v>819</v>
      </c>
      <c r="E94" s="282"/>
      <c r="F94" s="283">
        <v>0.6</v>
      </c>
      <c r="G94" s="284">
        <v>44391</v>
      </c>
      <c r="H94" s="351">
        <v>0.65</v>
      </c>
      <c r="I94" s="318">
        <v>0.76770000000000005</v>
      </c>
      <c r="J94" s="319">
        <v>44404</v>
      </c>
      <c r="K94" s="286">
        <f t="shared" si="4"/>
        <v>8.3333333333333481E-2</v>
      </c>
      <c r="L94" s="286">
        <f t="shared" si="5"/>
        <v>0.27950000000000008</v>
      </c>
      <c r="M94" s="353">
        <v>44435</v>
      </c>
      <c r="N94" s="328"/>
      <c r="O94" s="329">
        <v>41942584</v>
      </c>
      <c r="P94" s="329">
        <v>32650000</v>
      </c>
      <c r="Q94" s="329">
        <v>13</v>
      </c>
      <c r="R94" s="328" t="s">
        <v>131</v>
      </c>
      <c r="S94" s="330" t="s">
        <v>148</v>
      </c>
      <c r="T94" s="328" t="s">
        <v>154</v>
      </c>
      <c r="U94" s="22">
        <v>316</v>
      </c>
      <c r="V94" s="22">
        <v>1802599</v>
      </c>
      <c r="W94" s="22"/>
      <c r="X94" s="22"/>
      <c r="Y94" s="54"/>
      <c r="Z94" s="54"/>
      <c r="AA94" s="54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</row>
    <row r="95" spans="1:95" ht="15.75" customHeight="1" thickBot="1" x14ac:dyDescent="0.3">
      <c r="A95" s="325"/>
      <c r="B95" s="281" t="s">
        <v>128</v>
      </c>
      <c r="C95" s="326">
        <v>0</v>
      </c>
      <c r="D95" s="281" t="s">
        <v>820</v>
      </c>
      <c r="E95" s="282"/>
      <c r="F95" s="283">
        <v>6.15</v>
      </c>
      <c r="G95" s="284">
        <v>44391</v>
      </c>
      <c r="H95" s="351">
        <v>5.04</v>
      </c>
      <c r="I95" s="318">
        <v>6.94</v>
      </c>
      <c r="J95" s="319">
        <v>44400</v>
      </c>
      <c r="K95" s="286">
        <f t="shared" si="4"/>
        <v>-0.18048780487804883</v>
      </c>
      <c r="L95" s="286">
        <f t="shared" si="5"/>
        <v>0.12845528455284549</v>
      </c>
      <c r="M95" s="353">
        <v>44435</v>
      </c>
      <c r="N95" s="328"/>
      <c r="O95" s="329">
        <v>19812315</v>
      </c>
      <c r="P95" s="329">
        <v>42970000</v>
      </c>
      <c r="Q95" s="329">
        <v>9</v>
      </c>
      <c r="R95" s="328" t="s">
        <v>131</v>
      </c>
      <c r="S95" s="330" t="s">
        <v>157</v>
      </c>
      <c r="T95" s="328" t="s">
        <v>542</v>
      </c>
      <c r="U95" s="22">
        <v>112</v>
      </c>
      <c r="V95" s="22">
        <v>338426</v>
      </c>
      <c r="W95" s="22"/>
      <c r="X95" s="22"/>
      <c r="Y95" s="54"/>
      <c r="Z95" s="54"/>
      <c r="AA95" s="54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</row>
    <row r="96" spans="1:95" ht="15.75" customHeight="1" thickBot="1" x14ac:dyDescent="0.3">
      <c r="A96" s="325" t="s">
        <v>732</v>
      </c>
      <c r="B96" s="281" t="s">
        <v>128</v>
      </c>
      <c r="C96" s="326">
        <v>2</v>
      </c>
      <c r="D96" s="281" t="s">
        <v>821</v>
      </c>
      <c r="E96" s="282"/>
      <c r="F96" s="283">
        <v>5.39</v>
      </c>
      <c r="G96" s="284">
        <v>44391</v>
      </c>
      <c r="H96" s="351">
        <v>5.51</v>
      </c>
      <c r="I96" s="351">
        <v>5.63</v>
      </c>
      <c r="J96" s="352">
        <v>44435</v>
      </c>
      <c r="K96" s="286">
        <f t="shared" si="4"/>
        <v>2.226345083487935E-2</v>
      </c>
      <c r="L96" s="286">
        <f t="shared" si="5"/>
        <v>4.4526901669758923E-2</v>
      </c>
      <c r="M96" s="353">
        <v>44435</v>
      </c>
      <c r="N96" s="328"/>
      <c r="O96" s="329">
        <v>6812836</v>
      </c>
      <c r="P96" s="329">
        <v>3100000</v>
      </c>
      <c r="Q96" s="329">
        <v>44</v>
      </c>
      <c r="R96" s="328" t="s">
        <v>131</v>
      </c>
      <c r="S96" s="330" t="s">
        <v>148</v>
      </c>
      <c r="T96" s="328" t="s">
        <v>154</v>
      </c>
      <c r="U96" s="22">
        <v>88</v>
      </c>
      <c r="V96" s="22">
        <v>67641</v>
      </c>
      <c r="W96" s="22"/>
      <c r="X96" s="22"/>
      <c r="Y96" s="54"/>
      <c r="Z96" s="54"/>
      <c r="AA96" s="54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</row>
    <row r="97" spans="1:95" ht="15.75" customHeight="1" thickBot="1" x14ac:dyDescent="0.3">
      <c r="A97" s="325" t="s">
        <v>732</v>
      </c>
      <c r="B97" s="281" t="s">
        <v>128</v>
      </c>
      <c r="C97" s="326">
        <v>1</v>
      </c>
      <c r="D97" s="281" t="s">
        <v>822</v>
      </c>
      <c r="E97" s="282"/>
      <c r="F97" s="283">
        <v>8.19</v>
      </c>
      <c r="G97" s="284">
        <v>44391</v>
      </c>
      <c r="H97" s="351">
        <v>7.03</v>
      </c>
      <c r="I97" s="318">
        <v>8.5595999999999997</v>
      </c>
      <c r="J97" s="319">
        <v>44392</v>
      </c>
      <c r="K97" s="286">
        <f t="shared" si="4"/>
        <v>-0.14163614163614158</v>
      </c>
      <c r="L97" s="286">
        <f t="shared" si="5"/>
        <v>4.5128205128205146E-2</v>
      </c>
      <c r="M97" s="353">
        <v>44435</v>
      </c>
      <c r="N97" s="328"/>
      <c r="O97" s="329">
        <v>4381033</v>
      </c>
      <c r="P97" s="329">
        <v>1180000</v>
      </c>
      <c r="Q97" s="329">
        <v>1</v>
      </c>
      <c r="R97" s="328" t="s">
        <v>152</v>
      </c>
      <c r="S97" s="330" t="s">
        <v>132</v>
      </c>
      <c r="T97" s="328" t="s">
        <v>214</v>
      </c>
      <c r="U97" s="22">
        <v>280</v>
      </c>
      <c r="V97" s="22">
        <v>1664699</v>
      </c>
      <c r="W97" s="22"/>
      <c r="X97" s="22"/>
      <c r="Y97" s="54"/>
      <c r="Z97" s="54"/>
      <c r="AA97" s="54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</row>
    <row r="98" spans="1:95" ht="15.75" customHeight="1" thickBot="1" x14ac:dyDescent="0.3">
      <c r="A98" s="325" t="s">
        <v>732</v>
      </c>
      <c r="B98" s="281" t="s">
        <v>128</v>
      </c>
      <c r="C98" s="326">
        <v>1</v>
      </c>
      <c r="D98" s="281" t="s">
        <v>359</v>
      </c>
      <c r="E98" s="282"/>
      <c r="F98" s="283">
        <v>4.67</v>
      </c>
      <c r="G98" s="284">
        <v>44390</v>
      </c>
      <c r="H98" s="351">
        <v>3.83</v>
      </c>
      <c r="I98" s="285">
        <v>4.67</v>
      </c>
      <c r="J98" s="319">
        <v>44390</v>
      </c>
      <c r="K98" s="286">
        <f t="shared" si="4"/>
        <v>-0.17987152034261245</v>
      </c>
      <c r="L98" s="286">
        <f t="shared" si="5"/>
        <v>0</v>
      </c>
      <c r="M98" s="353">
        <v>44435</v>
      </c>
      <c r="N98" s="328"/>
      <c r="O98" s="329">
        <v>9343671</v>
      </c>
      <c r="P98" s="329">
        <v>6050000</v>
      </c>
      <c r="Q98" s="329"/>
      <c r="R98" s="328" t="s">
        <v>131</v>
      </c>
      <c r="S98" s="330" t="s">
        <v>148</v>
      </c>
      <c r="T98" s="328" t="s">
        <v>163</v>
      </c>
      <c r="U98" s="22">
        <v>84</v>
      </c>
      <c r="V98" s="22">
        <v>316765</v>
      </c>
      <c r="W98" s="22"/>
      <c r="X98" s="22"/>
      <c r="Y98" s="54"/>
      <c r="Z98" s="54"/>
      <c r="AA98" s="54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</row>
    <row r="99" spans="1:95" ht="15.75" customHeight="1" thickBot="1" x14ac:dyDescent="0.3">
      <c r="A99" s="325" t="s">
        <v>732</v>
      </c>
      <c r="B99" s="281" t="s">
        <v>128</v>
      </c>
      <c r="C99" s="326">
        <v>1</v>
      </c>
      <c r="D99" s="281" t="s">
        <v>823</v>
      </c>
      <c r="E99" s="282"/>
      <c r="F99" s="283">
        <v>4.66</v>
      </c>
      <c r="G99" s="284">
        <v>44390</v>
      </c>
      <c r="H99" s="351">
        <v>3.43</v>
      </c>
      <c r="I99" s="318">
        <v>5.64</v>
      </c>
      <c r="J99" s="319">
        <v>44405</v>
      </c>
      <c r="K99" s="286">
        <f t="shared" si="4"/>
        <v>-0.26394849785407726</v>
      </c>
      <c r="L99" s="286">
        <f t="shared" si="5"/>
        <v>0.21030042918454916</v>
      </c>
      <c r="M99" s="353">
        <v>44435</v>
      </c>
      <c r="N99" s="328"/>
      <c r="O99" s="329">
        <v>15468945</v>
      </c>
      <c r="P99" s="329">
        <v>7720000</v>
      </c>
      <c r="Q99" s="329">
        <v>15</v>
      </c>
      <c r="R99" s="328" t="s">
        <v>131</v>
      </c>
      <c r="S99" s="330" t="s">
        <v>157</v>
      </c>
      <c r="T99" s="328" t="s">
        <v>154</v>
      </c>
      <c r="U99" s="22">
        <v>472</v>
      </c>
      <c r="V99" s="22">
        <v>581505</v>
      </c>
      <c r="W99" s="22"/>
      <c r="X99" s="22"/>
      <c r="Y99" s="54"/>
      <c r="Z99" s="54"/>
      <c r="AA99" s="54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</row>
    <row r="100" spans="1:95" ht="15.75" customHeight="1" thickBot="1" x14ac:dyDescent="0.3">
      <c r="A100" s="325" t="s">
        <v>806</v>
      </c>
      <c r="B100" s="281" t="s">
        <v>128</v>
      </c>
      <c r="C100" s="326">
        <v>0</v>
      </c>
      <c r="D100" s="281" t="s">
        <v>824</v>
      </c>
      <c r="E100" s="282"/>
      <c r="F100" s="283">
        <v>25.9</v>
      </c>
      <c r="G100" s="284">
        <v>44390</v>
      </c>
      <c r="H100" s="351">
        <v>21.24</v>
      </c>
      <c r="I100" s="351">
        <v>26.6829</v>
      </c>
      <c r="J100" s="352">
        <v>44419</v>
      </c>
      <c r="K100" s="286">
        <f t="shared" si="4"/>
        <v>-0.17992277992277994</v>
      </c>
      <c r="L100" s="286">
        <f t="shared" si="5"/>
        <v>3.0227799227799279E-2</v>
      </c>
      <c r="M100" s="353">
        <v>44435</v>
      </c>
      <c r="N100" s="328"/>
      <c r="O100" s="329">
        <v>306261388</v>
      </c>
      <c r="P100" s="329">
        <v>309100000</v>
      </c>
      <c r="Q100" s="329">
        <v>29</v>
      </c>
      <c r="R100" s="328" t="s">
        <v>131</v>
      </c>
      <c r="S100" s="330" t="s">
        <v>148</v>
      </c>
      <c r="T100" s="328" t="s">
        <v>825</v>
      </c>
      <c r="U100" s="22">
        <v>892</v>
      </c>
      <c r="V100" s="22">
        <v>8614920</v>
      </c>
      <c r="W100" s="22"/>
      <c r="X100" s="22"/>
      <c r="Y100" s="54"/>
      <c r="Z100" s="54"/>
      <c r="AA100" s="54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</row>
    <row r="101" spans="1:95" ht="15.75" customHeight="1" thickBot="1" x14ac:dyDescent="0.3">
      <c r="A101" s="325" t="s">
        <v>732</v>
      </c>
      <c r="B101" s="281" t="s">
        <v>128</v>
      </c>
      <c r="C101" s="326">
        <v>1</v>
      </c>
      <c r="D101" s="281" t="s">
        <v>721</v>
      </c>
      <c r="E101" s="330"/>
      <c r="F101" s="283">
        <v>4.22</v>
      </c>
      <c r="G101" s="284">
        <v>44390</v>
      </c>
      <c r="H101" s="351">
        <v>2.6</v>
      </c>
      <c r="I101" s="318">
        <v>4.33</v>
      </c>
      <c r="J101" s="319">
        <v>44391</v>
      </c>
      <c r="K101" s="286">
        <f t="shared" si="4"/>
        <v>-0.38388625592417058</v>
      </c>
      <c r="L101" s="286">
        <f t="shared" si="5"/>
        <v>2.6066350710900466E-2</v>
      </c>
      <c r="M101" s="353">
        <v>44435</v>
      </c>
      <c r="N101" s="328"/>
      <c r="O101" s="329">
        <v>16939647</v>
      </c>
      <c r="P101" s="329">
        <v>16450000</v>
      </c>
      <c r="Q101" s="329">
        <v>1</v>
      </c>
      <c r="R101" s="328" t="s">
        <v>131</v>
      </c>
      <c r="S101" s="330" t="s">
        <v>265</v>
      </c>
      <c r="T101" s="328" t="s">
        <v>266</v>
      </c>
      <c r="U101" s="22">
        <v>120</v>
      </c>
      <c r="V101" s="22">
        <v>513169</v>
      </c>
      <c r="W101" s="22"/>
      <c r="X101" s="22"/>
      <c r="Y101" s="54"/>
      <c r="Z101" s="54"/>
      <c r="AA101" s="54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</row>
    <row r="102" spans="1:95" ht="15.75" customHeight="1" thickBot="1" x14ac:dyDescent="0.3">
      <c r="A102" s="325"/>
      <c r="B102" s="281" t="s">
        <v>128</v>
      </c>
      <c r="C102" s="326">
        <v>2</v>
      </c>
      <c r="D102" s="281" t="s">
        <v>338</v>
      </c>
      <c r="E102" s="335" t="s">
        <v>826</v>
      </c>
      <c r="F102" s="283">
        <v>1.98</v>
      </c>
      <c r="G102" s="284">
        <v>44390</v>
      </c>
      <c r="H102" s="351">
        <v>1.88</v>
      </c>
      <c r="I102" s="318">
        <v>2.82</v>
      </c>
      <c r="J102" s="319">
        <v>44393</v>
      </c>
      <c r="K102" s="286">
        <f t="shared" ref="K102:K133" si="6">IF(F102&lt;&gt;"", (H102/F102)-100%, "")</f>
        <v>-5.0505050505050497E-2</v>
      </c>
      <c r="L102" s="286">
        <f t="shared" ref="L102:L133" si="7">IF(F102&lt;&gt;"", (I102/F102)-100%, "")</f>
        <v>0.42424242424242409</v>
      </c>
      <c r="M102" s="353">
        <v>44435</v>
      </c>
      <c r="N102" s="328"/>
      <c r="O102" s="329">
        <v>25617807</v>
      </c>
      <c r="P102" s="329">
        <v>3690000</v>
      </c>
      <c r="Q102" s="329">
        <v>3</v>
      </c>
      <c r="R102" s="328" t="s">
        <v>152</v>
      </c>
      <c r="S102" s="330"/>
      <c r="T102" s="328" t="s">
        <v>339</v>
      </c>
      <c r="U102" s="22">
        <v>56</v>
      </c>
      <c r="V102" s="22">
        <v>121405</v>
      </c>
      <c r="W102" s="22"/>
      <c r="X102" s="22"/>
      <c r="Y102" s="54"/>
      <c r="Z102" s="54"/>
      <c r="AA102" s="54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</row>
    <row r="103" spans="1:95" ht="15.75" customHeight="1" thickBot="1" x14ac:dyDescent="0.3">
      <c r="A103" s="325"/>
      <c r="B103" s="281" t="s">
        <v>128</v>
      </c>
      <c r="C103" s="326">
        <v>1</v>
      </c>
      <c r="D103" s="281" t="s">
        <v>407</v>
      </c>
      <c r="E103" s="282"/>
      <c r="F103" s="283">
        <v>4.87</v>
      </c>
      <c r="G103" s="284">
        <v>44390</v>
      </c>
      <c r="H103" s="351">
        <v>4.0599999999999996</v>
      </c>
      <c r="I103" s="351">
        <v>5.45</v>
      </c>
      <c r="J103" s="352">
        <v>44433</v>
      </c>
      <c r="K103" s="286">
        <f t="shared" si="6"/>
        <v>-0.16632443531827523</v>
      </c>
      <c r="L103" s="286">
        <f t="shared" si="7"/>
        <v>0.11909650924024651</v>
      </c>
      <c r="M103" s="353">
        <v>44435</v>
      </c>
      <c r="N103" s="328"/>
      <c r="O103" s="329">
        <v>54025000</v>
      </c>
      <c r="P103" s="329">
        <v>26750000</v>
      </c>
      <c r="Q103" s="329">
        <v>43</v>
      </c>
      <c r="R103" s="328" t="s">
        <v>152</v>
      </c>
      <c r="S103" s="330" t="s">
        <v>281</v>
      </c>
      <c r="T103" s="328" t="s">
        <v>408</v>
      </c>
      <c r="U103" s="22">
        <v>64</v>
      </c>
      <c r="V103" s="22">
        <v>77593</v>
      </c>
      <c r="W103" s="22"/>
      <c r="X103" s="22"/>
      <c r="Y103" s="54"/>
      <c r="Z103" s="54"/>
      <c r="AA103" s="54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</row>
    <row r="104" spans="1:95" ht="15.75" customHeight="1" thickBot="1" x14ac:dyDescent="0.3">
      <c r="A104" s="325"/>
      <c r="B104" s="281" t="s">
        <v>128</v>
      </c>
      <c r="C104" s="326">
        <v>0</v>
      </c>
      <c r="D104" s="281" t="s">
        <v>827</v>
      </c>
      <c r="E104" s="282"/>
      <c r="F104" s="283">
        <v>3.88</v>
      </c>
      <c r="G104" s="284">
        <v>44390</v>
      </c>
      <c r="H104" s="351">
        <v>4.13</v>
      </c>
      <c r="I104" s="318">
        <v>4.7</v>
      </c>
      <c r="J104" s="319">
        <v>44391</v>
      </c>
      <c r="K104" s="286">
        <f t="shared" si="6"/>
        <v>6.4432989690721643E-2</v>
      </c>
      <c r="L104" s="286">
        <f t="shared" si="7"/>
        <v>0.21134020618556715</v>
      </c>
      <c r="M104" s="353">
        <v>44435</v>
      </c>
      <c r="N104" s="328"/>
      <c r="O104" s="329">
        <v>158743061</v>
      </c>
      <c r="P104" s="329">
        <v>45270000</v>
      </c>
      <c r="Q104" s="329">
        <v>1</v>
      </c>
      <c r="R104" s="328" t="s">
        <v>139</v>
      </c>
      <c r="S104" s="330" t="s">
        <v>220</v>
      </c>
      <c r="T104" s="328" t="s">
        <v>828</v>
      </c>
      <c r="U104" s="22">
        <v>2004</v>
      </c>
      <c r="V104" s="22">
        <v>49757402</v>
      </c>
      <c r="W104" s="22"/>
      <c r="X104" s="22"/>
      <c r="Y104" s="54"/>
      <c r="Z104" s="54"/>
      <c r="AA104" s="54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</row>
    <row r="105" spans="1:95" ht="15.75" customHeight="1" thickBot="1" x14ac:dyDescent="0.3">
      <c r="A105" s="325" t="s">
        <v>732</v>
      </c>
      <c r="B105" s="281" t="s">
        <v>128</v>
      </c>
      <c r="C105" s="326">
        <v>1</v>
      </c>
      <c r="D105" s="281" t="s">
        <v>829</v>
      </c>
      <c r="E105" s="60" t="s">
        <v>830</v>
      </c>
      <c r="F105" s="283">
        <v>3.29</v>
      </c>
      <c r="G105" s="284">
        <v>44390</v>
      </c>
      <c r="H105" s="351">
        <v>2.33</v>
      </c>
      <c r="I105" s="318">
        <v>3.42</v>
      </c>
      <c r="J105" s="319">
        <v>44392</v>
      </c>
      <c r="K105" s="286">
        <f t="shared" si="6"/>
        <v>-0.29179331306990886</v>
      </c>
      <c r="L105" s="286">
        <f t="shared" si="7"/>
        <v>3.951367781155013E-2</v>
      </c>
      <c r="M105" s="353">
        <v>44435</v>
      </c>
      <c r="N105" s="328"/>
      <c r="O105" s="329">
        <v>31358497</v>
      </c>
      <c r="P105" s="329">
        <v>16050000</v>
      </c>
      <c r="Q105" s="329">
        <v>2</v>
      </c>
      <c r="R105" s="328" t="s">
        <v>131</v>
      </c>
      <c r="S105" s="330" t="s">
        <v>220</v>
      </c>
      <c r="T105" s="328" t="s">
        <v>595</v>
      </c>
      <c r="U105" s="22">
        <v>112</v>
      </c>
      <c r="V105" s="22">
        <v>2572722</v>
      </c>
      <c r="W105" s="22"/>
      <c r="X105" s="22"/>
      <c r="Y105" s="54"/>
      <c r="Z105" s="54"/>
      <c r="AA105" s="54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</row>
    <row r="106" spans="1:95" ht="15.75" customHeight="1" thickBot="1" x14ac:dyDescent="0.3">
      <c r="A106" s="325" t="s">
        <v>732</v>
      </c>
      <c r="B106" s="281" t="s">
        <v>128</v>
      </c>
      <c r="C106" s="326">
        <v>2</v>
      </c>
      <c r="D106" s="281" t="s">
        <v>831</v>
      </c>
      <c r="E106" s="282"/>
      <c r="F106" s="283">
        <v>4.1399999999999997</v>
      </c>
      <c r="G106" s="284">
        <v>44390</v>
      </c>
      <c r="H106" s="351">
        <v>4.4400000000000004</v>
      </c>
      <c r="I106" s="318">
        <v>5.3</v>
      </c>
      <c r="J106" s="319">
        <v>44400</v>
      </c>
      <c r="K106" s="286">
        <f t="shared" si="6"/>
        <v>7.2463768115942129E-2</v>
      </c>
      <c r="L106" s="286">
        <f t="shared" si="7"/>
        <v>0.28019323671497598</v>
      </c>
      <c r="M106" s="353">
        <v>44435</v>
      </c>
      <c r="N106" s="328"/>
      <c r="O106" s="329">
        <v>6532018</v>
      </c>
      <c r="P106" s="329">
        <v>5270000</v>
      </c>
      <c r="Q106" s="329">
        <v>10</v>
      </c>
      <c r="R106" s="328" t="s">
        <v>131</v>
      </c>
      <c r="S106" s="330" t="s">
        <v>148</v>
      </c>
      <c r="T106" s="328" t="s">
        <v>242</v>
      </c>
      <c r="U106" s="22">
        <v>16</v>
      </c>
      <c r="V106" s="22">
        <v>495575</v>
      </c>
      <c r="W106" s="22"/>
      <c r="X106" s="22"/>
      <c r="Y106" s="54"/>
      <c r="Z106" s="54"/>
      <c r="AA106" s="54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</row>
    <row r="107" spans="1:95" ht="15.75" customHeight="1" thickBot="1" x14ac:dyDescent="0.3">
      <c r="A107" s="325" t="s">
        <v>732</v>
      </c>
      <c r="B107" s="281" t="s">
        <v>128</v>
      </c>
      <c r="C107" s="326">
        <v>2</v>
      </c>
      <c r="D107" s="281" t="s">
        <v>832</v>
      </c>
      <c r="E107" s="282"/>
      <c r="F107" s="283">
        <v>6.29</v>
      </c>
      <c r="G107" s="284">
        <v>44390</v>
      </c>
      <c r="H107" s="351">
        <v>4.45</v>
      </c>
      <c r="I107" s="318">
        <v>7.28</v>
      </c>
      <c r="J107" s="319">
        <v>44392</v>
      </c>
      <c r="K107" s="286">
        <f t="shared" si="6"/>
        <v>-0.2925278219395866</v>
      </c>
      <c r="L107" s="286">
        <f t="shared" si="7"/>
        <v>0.15739268680445151</v>
      </c>
      <c r="M107" s="353">
        <v>44435</v>
      </c>
      <c r="N107" s="328"/>
      <c r="O107" s="329">
        <v>30764592</v>
      </c>
      <c r="P107" s="329">
        <v>2270000</v>
      </c>
      <c r="Q107" s="329">
        <v>2</v>
      </c>
      <c r="R107" s="328" t="s">
        <v>152</v>
      </c>
      <c r="S107" s="330" t="s">
        <v>135</v>
      </c>
      <c r="T107" s="328" t="s">
        <v>622</v>
      </c>
      <c r="U107" s="22">
        <v>68</v>
      </c>
      <c r="V107" s="22">
        <v>261420</v>
      </c>
      <c r="W107" s="22"/>
      <c r="X107" s="22"/>
      <c r="Y107" s="54"/>
      <c r="Z107" s="54"/>
      <c r="AA107" s="54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</row>
    <row r="108" spans="1:95" ht="15.75" customHeight="1" thickBot="1" x14ac:dyDescent="0.3">
      <c r="A108" s="325" t="s">
        <v>732</v>
      </c>
      <c r="B108" s="281" t="s">
        <v>128</v>
      </c>
      <c r="C108" s="326">
        <v>1</v>
      </c>
      <c r="D108" s="281" t="s">
        <v>833</v>
      </c>
      <c r="E108" s="282"/>
      <c r="F108" s="283">
        <v>4.33</v>
      </c>
      <c r="G108" s="284">
        <v>44390</v>
      </c>
      <c r="H108" s="351">
        <v>3.23</v>
      </c>
      <c r="I108" s="318">
        <v>4.4400000000000004</v>
      </c>
      <c r="J108" s="319">
        <v>44392</v>
      </c>
      <c r="K108" s="286">
        <f t="shared" si="6"/>
        <v>-0.25404157043879905</v>
      </c>
      <c r="L108" s="286">
        <f t="shared" si="7"/>
        <v>2.5404157043879882E-2</v>
      </c>
      <c r="M108" s="353">
        <v>44435</v>
      </c>
      <c r="N108" s="328"/>
      <c r="O108" s="329">
        <v>7387160</v>
      </c>
      <c r="P108" s="329">
        <v>4060000</v>
      </c>
      <c r="Q108" s="329">
        <v>2</v>
      </c>
      <c r="R108" s="328" t="s">
        <v>131</v>
      </c>
      <c r="S108" s="330" t="s">
        <v>148</v>
      </c>
      <c r="T108" s="328" t="s">
        <v>154</v>
      </c>
      <c r="U108" s="22">
        <v>176</v>
      </c>
      <c r="V108" s="22">
        <v>6141484</v>
      </c>
      <c r="W108" s="22"/>
      <c r="X108" s="22"/>
      <c r="Y108" s="54"/>
      <c r="Z108" s="54"/>
      <c r="AA108" s="54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</row>
    <row r="109" spans="1:95" ht="15.75" customHeight="1" thickBot="1" x14ac:dyDescent="0.3">
      <c r="A109" s="325" t="s">
        <v>732</v>
      </c>
      <c r="B109" s="281" t="s">
        <v>128</v>
      </c>
      <c r="C109" s="326">
        <v>1</v>
      </c>
      <c r="D109" s="281" t="s">
        <v>834</v>
      </c>
      <c r="E109" s="282"/>
      <c r="F109" s="283">
        <v>0.48899999999999999</v>
      </c>
      <c r="G109" s="284">
        <v>44389</v>
      </c>
      <c r="H109" s="351">
        <v>0.46079999999999999</v>
      </c>
      <c r="I109" s="351">
        <v>0.51770000000000005</v>
      </c>
      <c r="J109" s="352">
        <v>44434</v>
      </c>
      <c r="K109" s="286">
        <f t="shared" si="6"/>
        <v>-5.7668711656441718E-2</v>
      </c>
      <c r="L109" s="286">
        <f t="shared" si="7"/>
        <v>5.8691206543967311E-2</v>
      </c>
      <c r="M109" s="353">
        <v>44435</v>
      </c>
      <c r="N109" s="328"/>
      <c r="O109" s="329">
        <v>145638459</v>
      </c>
      <c r="P109" s="329">
        <v>119410000</v>
      </c>
      <c r="Q109" s="329">
        <v>45</v>
      </c>
      <c r="R109" s="328" t="s">
        <v>131</v>
      </c>
      <c r="S109" s="330" t="s">
        <v>148</v>
      </c>
      <c r="T109" s="328" t="s">
        <v>154</v>
      </c>
      <c r="U109" s="22">
        <v>756</v>
      </c>
      <c r="V109" s="22">
        <v>10990468</v>
      </c>
      <c r="W109" s="22"/>
      <c r="X109" s="22"/>
      <c r="Y109" s="54"/>
      <c r="Z109" s="54"/>
      <c r="AA109" s="54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</row>
    <row r="110" spans="1:95" ht="15.75" customHeight="1" thickBot="1" x14ac:dyDescent="0.3">
      <c r="A110" s="325" t="s">
        <v>732</v>
      </c>
      <c r="B110" s="281" t="s">
        <v>128</v>
      </c>
      <c r="C110" s="326">
        <v>1</v>
      </c>
      <c r="D110" s="281" t="s">
        <v>835</v>
      </c>
      <c r="E110" s="282"/>
      <c r="F110" s="283">
        <v>9.34</v>
      </c>
      <c r="G110" s="284">
        <v>44389</v>
      </c>
      <c r="H110" s="351">
        <v>6.6</v>
      </c>
      <c r="I110" s="318">
        <v>9.7100000000000009</v>
      </c>
      <c r="J110" s="319">
        <v>44391</v>
      </c>
      <c r="K110" s="286">
        <f t="shared" si="6"/>
        <v>-0.29336188436830835</v>
      </c>
      <c r="L110" s="286">
        <f t="shared" si="7"/>
        <v>3.9614561027837336E-2</v>
      </c>
      <c r="M110" s="353">
        <v>44435</v>
      </c>
      <c r="N110" s="328"/>
      <c r="O110" s="329">
        <v>9402669</v>
      </c>
      <c r="P110" s="329">
        <v>4170000</v>
      </c>
      <c r="Q110" s="329">
        <v>2</v>
      </c>
      <c r="R110" s="328" t="s">
        <v>131</v>
      </c>
      <c r="S110" s="330"/>
      <c r="T110" s="328" t="s">
        <v>200</v>
      </c>
      <c r="U110" s="22">
        <v>140</v>
      </c>
      <c r="V110" s="22">
        <v>363462</v>
      </c>
      <c r="W110" s="22"/>
      <c r="X110" s="22"/>
      <c r="Y110" s="54"/>
      <c r="Z110" s="54"/>
      <c r="AA110" s="54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</row>
    <row r="111" spans="1:95" ht="15.75" customHeight="1" thickBot="1" x14ac:dyDescent="0.3">
      <c r="A111" s="325" t="s">
        <v>745</v>
      </c>
      <c r="B111" s="281" t="s">
        <v>128</v>
      </c>
      <c r="C111" s="326">
        <v>0</v>
      </c>
      <c r="D111" s="281" t="s">
        <v>187</v>
      </c>
      <c r="E111" s="282"/>
      <c r="F111" s="283">
        <v>6</v>
      </c>
      <c r="G111" s="284">
        <v>44389</v>
      </c>
      <c r="H111" s="351">
        <v>5.9</v>
      </c>
      <c r="I111" s="351">
        <v>6.69</v>
      </c>
      <c r="J111" s="352">
        <v>44418</v>
      </c>
      <c r="K111" s="286">
        <f t="shared" si="6"/>
        <v>-1.6666666666666607E-2</v>
      </c>
      <c r="L111" s="286">
        <f t="shared" si="7"/>
        <v>0.11499999999999999</v>
      </c>
      <c r="M111" s="353">
        <v>44435</v>
      </c>
      <c r="N111" s="328"/>
      <c r="O111" s="329">
        <v>8089457</v>
      </c>
      <c r="P111" s="329">
        <v>2480000</v>
      </c>
      <c r="Q111" s="329">
        <v>29</v>
      </c>
      <c r="R111" s="328" t="s">
        <v>131</v>
      </c>
      <c r="S111" s="330" t="s">
        <v>188</v>
      </c>
      <c r="T111" s="328" t="s">
        <v>189</v>
      </c>
      <c r="U111" s="22">
        <v>144</v>
      </c>
      <c r="V111" s="22">
        <v>40359</v>
      </c>
      <c r="W111" s="22"/>
      <c r="X111" s="22"/>
      <c r="Y111" s="54"/>
      <c r="Z111" s="54"/>
      <c r="AA111" s="54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</row>
    <row r="112" spans="1:95" ht="15.75" customHeight="1" thickBot="1" x14ac:dyDescent="0.3">
      <c r="A112" s="325" t="s">
        <v>732</v>
      </c>
      <c r="B112" s="281" t="s">
        <v>128</v>
      </c>
      <c r="C112" s="326">
        <v>1</v>
      </c>
      <c r="D112" s="281" t="s">
        <v>836</v>
      </c>
      <c r="E112" s="282"/>
      <c r="F112" s="283">
        <v>12.8</v>
      </c>
      <c r="G112" s="284">
        <v>44389</v>
      </c>
      <c r="H112" s="351">
        <v>10.73</v>
      </c>
      <c r="I112" s="318">
        <v>13.145</v>
      </c>
      <c r="J112" s="319">
        <v>44390</v>
      </c>
      <c r="K112" s="286">
        <f t="shared" si="6"/>
        <v>-0.16171875000000002</v>
      </c>
      <c r="L112" s="286">
        <f t="shared" si="7"/>
        <v>2.6953124999999911E-2</v>
      </c>
      <c r="M112" s="353">
        <v>44435</v>
      </c>
      <c r="N112" s="328"/>
      <c r="O112" s="329">
        <v>54120312</v>
      </c>
      <c r="P112" s="329">
        <v>33580000</v>
      </c>
      <c r="Q112" s="329">
        <v>1</v>
      </c>
      <c r="R112" s="328" t="s">
        <v>131</v>
      </c>
      <c r="S112" s="330" t="s">
        <v>148</v>
      </c>
      <c r="T112" s="328" t="s">
        <v>271</v>
      </c>
      <c r="U112" s="22">
        <v>120</v>
      </c>
      <c r="V112" s="22">
        <v>498922</v>
      </c>
      <c r="W112" s="22"/>
      <c r="X112" s="22"/>
      <c r="Y112" s="54"/>
      <c r="Z112" s="54"/>
      <c r="AA112" s="54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</row>
    <row r="113" spans="1:95" ht="15.75" customHeight="1" thickBot="1" x14ac:dyDescent="0.3">
      <c r="A113" s="325" t="s">
        <v>837</v>
      </c>
      <c r="B113" s="281" t="s">
        <v>181</v>
      </c>
      <c r="C113" s="326">
        <v>0</v>
      </c>
      <c r="D113" s="281" t="s">
        <v>838</v>
      </c>
      <c r="E113" s="282"/>
      <c r="F113" s="283">
        <v>0.01</v>
      </c>
      <c r="G113" s="284">
        <v>44389</v>
      </c>
      <c r="H113" s="351">
        <v>6.1000000000000004E-3</v>
      </c>
      <c r="I113" s="318">
        <v>1.4E-2</v>
      </c>
      <c r="J113" s="319">
        <v>44398</v>
      </c>
      <c r="K113" s="286">
        <f t="shared" si="6"/>
        <v>-0.39</v>
      </c>
      <c r="L113" s="286">
        <f t="shared" si="7"/>
        <v>0.39999999999999991</v>
      </c>
      <c r="M113" s="353">
        <v>44435</v>
      </c>
      <c r="N113" s="328"/>
      <c r="O113" s="329">
        <v>54017148356</v>
      </c>
      <c r="P113" s="329"/>
      <c r="Q113" s="329">
        <v>9</v>
      </c>
      <c r="R113" s="328"/>
      <c r="S113" s="330" t="s">
        <v>157</v>
      </c>
      <c r="T113" s="328"/>
      <c r="U113" s="22">
        <v>1776</v>
      </c>
      <c r="V113" s="22">
        <v>18702379</v>
      </c>
      <c r="W113" s="22"/>
      <c r="X113" s="22"/>
      <c r="Y113" s="54"/>
      <c r="Z113" s="54"/>
      <c r="AA113" s="54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</row>
    <row r="114" spans="1:95" ht="15.75" customHeight="1" thickBot="1" x14ac:dyDescent="0.3">
      <c r="A114" s="325" t="s">
        <v>732</v>
      </c>
      <c r="B114" s="281" t="s">
        <v>128</v>
      </c>
      <c r="C114" s="326">
        <v>0</v>
      </c>
      <c r="D114" s="281" t="s">
        <v>839</v>
      </c>
      <c r="E114" s="282"/>
      <c r="F114" s="283">
        <v>10.210000000000001</v>
      </c>
      <c r="G114" s="284">
        <v>44389</v>
      </c>
      <c r="H114" s="351">
        <v>4.3499999999999996</v>
      </c>
      <c r="I114" s="318">
        <v>10.88</v>
      </c>
      <c r="J114" s="319">
        <v>44393</v>
      </c>
      <c r="K114" s="286">
        <f t="shared" si="6"/>
        <v>-0.57394711067580806</v>
      </c>
      <c r="L114" s="286">
        <f t="shared" si="7"/>
        <v>6.562193927522042E-2</v>
      </c>
      <c r="M114" s="353">
        <v>44435</v>
      </c>
      <c r="N114" s="328"/>
      <c r="O114" s="329">
        <v>17620006</v>
      </c>
      <c r="P114" s="329">
        <v>8910000</v>
      </c>
      <c r="Q114" s="329">
        <v>4</v>
      </c>
      <c r="R114" s="328" t="s">
        <v>131</v>
      </c>
      <c r="S114" s="330" t="s">
        <v>135</v>
      </c>
      <c r="T114" s="328" t="s">
        <v>133</v>
      </c>
      <c r="U114" s="22">
        <v>2004</v>
      </c>
      <c r="V114" s="22">
        <v>613842</v>
      </c>
      <c r="W114" s="22"/>
      <c r="X114" s="22"/>
      <c r="Y114" s="54"/>
      <c r="Z114" s="54"/>
      <c r="AA114" s="54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</row>
    <row r="115" spans="1:95" ht="15.75" customHeight="1" thickBot="1" x14ac:dyDescent="0.3">
      <c r="A115" s="325" t="s">
        <v>732</v>
      </c>
      <c r="B115" s="281" t="s">
        <v>128</v>
      </c>
      <c r="C115" s="326">
        <v>1</v>
      </c>
      <c r="D115" s="281" t="s">
        <v>840</v>
      </c>
      <c r="E115" s="282"/>
      <c r="F115" s="283">
        <v>1.02</v>
      </c>
      <c r="G115" s="284">
        <v>44389</v>
      </c>
      <c r="H115" s="351">
        <v>0.77500000000000002</v>
      </c>
      <c r="I115" s="318">
        <v>1.03</v>
      </c>
      <c r="J115" s="319">
        <v>44390</v>
      </c>
      <c r="K115" s="286">
        <f t="shared" si="6"/>
        <v>-0.24019607843137258</v>
      </c>
      <c r="L115" s="286">
        <f t="shared" si="7"/>
        <v>9.8039215686274161E-3</v>
      </c>
      <c r="M115" s="353">
        <v>44435</v>
      </c>
      <c r="N115" s="328"/>
      <c r="O115" s="329">
        <v>48169898</v>
      </c>
      <c r="P115" s="329">
        <v>40270000</v>
      </c>
      <c r="Q115" s="329">
        <v>1</v>
      </c>
      <c r="R115" s="328" t="s">
        <v>131</v>
      </c>
      <c r="S115" s="330" t="s">
        <v>148</v>
      </c>
      <c r="T115" s="328" t="s">
        <v>217</v>
      </c>
      <c r="U115" s="22">
        <v>20</v>
      </c>
      <c r="V115" s="22">
        <v>621718</v>
      </c>
      <c r="W115" s="22"/>
      <c r="X115" s="22"/>
      <c r="Y115" s="54"/>
      <c r="Z115" s="54"/>
      <c r="AA115" s="54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</row>
    <row r="116" spans="1:95" ht="15.75" customHeight="1" thickBot="1" x14ac:dyDescent="0.3">
      <c r="A116" s="325" t="s">
        <v>732</v>
      </c>
      <c r="B116" s="281" t="s">
        <v>128</v>
      </c>
      <c r="C116" s="326">
        <v>1</v>
      </c>
      <c r="D116" s="281" t="s">
        <v>841</v>
      </c>
      <c r="E116" s="282"/>
      <c r="F116" s="283">
        <v>3.8</v>
      </c>
      <c r="G116" s="284">
        <v>44389</v>
      </c>
      <c r="H116" s="351">
        <v>3.15</v>
      </c>
      <c r="I116" s="285">
        <v>3.8</v>
      </c>
      <c r="J116" s="319">
        <v>44389</v>
      </c>
      <c r="K116" s="286">
        <f t="shared" si="6"/>
        <v>-0.17105263157894735</v>
      </c>
      <c r="L116" s="286">
        <f t="shared" si="7"/>
        <v>0</v>
      </c>
      <c r="M116" s="353">
        <v>44435</v>
      </c>
      <c r="N116" s="328"/>
      <c r="O116" s="329">
        <v>122513653</v>
      </c>
      <c r="P116" s="329">
        <v>15560000</v>
      </c>
      <c r="Q116" s="329"/>
      <c r="R116" s="328" t="s">
        <v>131</v>
      </c>
      <c r="S116" s="330" t="s">
        <v>473</v>
      </c>
      <c r="T116" s="328" t="s">
        <v>546</v>
      </c>
      <c r="U116" s="22">
        <v>136</v>
      </c>
      <c r="V116" s="22">
        <v>578113</v>
      </c>
      <c r="W116" s="22"/>
      <c r="X116" s="22"/>
      <c r="Y116" s="54"/>
      <c r="Z116" s="54"/>
      <c r="AA116" s="54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</row>
    <row r="117" spans="1:95" ht="15.75" customHeight="1" thickBot="1" x14ac:dyDescent="0.3">
      <c r="A117" s="325" t="s">
        <v>732</v>
      </c>
      <c r="B117" s="281" t="s">
        <v>128</v>
      </c>
      <c r="C117" s="326">
        <v>2</v>
      </c>
      <c r="D117" s="281" t="s">
        <v>842</v>
      </c>
      <c r="E117" s="282"/>
      <c r="F117" s="283">
        <v>0.88</v>
      </c>
      <c r="G117" s="284">
        <v>44389</v>
      </c>
      <c r="H117" s="351">
        <v>0.83799999999999997</v>
      </c>
      <c r="I117" s="318">
        <v>0.93</v>
      </c>
      <c r="J117" s="319">
        <v>44390</v>
      </c>
      <c r="K117" s="286">
        <f t="shared" si="6"/>
        <v>-4.7727272727272729E-2</v>
      </c>
      <c r="L117" s="286">
        <f t="shared" si="7"/>
        <v>5.6818181818181879E-2</v>
      </c>
      <c r="M117" s="353">
        <v>44435</v>
      </c>
      <c r="N117" s="328"/>
      <c r="O117" s="329">
        <v>67584412</v>
      </c>
      <c r="P117" s="329">
        <v>56500000</v>
      </c>
      <c r="Q117" s="329">
        <v>1</v>
      </c>
      <c r="R117" s="328" t="s">
        <v>139</v>
      </c>
      <c r="S117" s="330" t="s">
        <v>148</v>
      </c>
      <c r="T117" s="328" t="s">
        <v>242</v>
      </c>
      <c r="U117" s="22">
        <v>32</v>
      </c>
      <c r="V117" s="22">
        <v>678453</v>
      </c>
      <c r="W117" s="22"/>
      <c r="X117" s="22"/>
      <c r="Y117" s="54"/>
      <c r="Z117" s="54"/>
      <c r="AA117" s="54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</row>
    <row r="118" spans="1:95" ht="15.75" customHeight="1" thickBot="1" x14ac:dyDescent="0.3">
      <c r="A118" s="325" t="s">
        <v>732</v>
      </c>
      <c r="B118" s="281" t="s">
        <v>128</v>
      </c>
      <c r="C118" s="326">
        <v>1</v>
      </c>
      <c r="D118" s="281" t="s">
        <v>207</v>
      </c>
      <c r="E118" s="282"/>
      <c r="F118" s="283">
        <v>4.3</v>
      </c>
      <c r="G118" s="284">
        <v>44389</v>
      </c>
      <c r="H118" s="351">
        <v>4.2</v>
      </c>
      <c r="I118" s="351">
        <v>5.2999000000000001</v>
      </c>
      <c r="J118" s="352">
        <v>44419</v>
      </c>
      <c r="K118" s="286">
        <f t="shared" si="6"/>
        <v>-2.3255813953488302E-2</v>
      </c>
      <c r="L118" s="286">
        <f t="shared" si="7"/>
        <v>0.23253488372093023</v>
      </c>
      <c r="M118" s="353">
        <v>44435</v>
      </c>
      <c r="N118" s="328"/>
      <c r="O118" s="329">
        <v>8726045</v>
      </c>
      <c r="P118" s="329">
        <v>3950000</v>
      </c>
      <c r="Q118" s="329">
        <v>30</v>
      </c>
      <c r="R118" s="328" t="s">
        <v>131</v>
      </c>
      <c r="S118" s="330" t="s">
        <v>148</v>
      </c>
      <c r="T118" s="328" t="s">
        <v>208</v>
      </c>
      <c r="U118" s="22">
        <v>168</v>
      </c>
      <c r="V118" s="22">
        <v>129820</v>
      </c>
      <c r="W118" s="22"/>
      <c r="X118" s="22"/>
      <c r="Y118" s="54"/>
      <c r="Z118" s="54"/>
      <c r="AA118" s="54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</row>
    <row r="119" spans="1:95" ht="15.75" customHeight="1" thickBot="1" x14ac:dyDescent="0.3">
      <c r="A119" s="325" t="s">
        <v>732</v>
      </c>
      <c r="B119" s="281" t="s">
        <v>128</v>
      </c>
      <c r="C119" s="326">
        <v>2</v>
      </c>
      <c r="D119" s="281" t="s">
        <v>843</v>
      </c>
      <c r="E119" s="282"/>
      <c r="F119" s="283">
        <v>0.46800000000000003</v>
      </c>
      <c r="G119" s="284">
        <v>44389</v>
      </c>
      <c r="H119" s="351">
        <v>0.4284</v>
      </c>
      <c r="I119" s="318">
        <v>0.47970000000000002</v>
      </c>
      <c r="J119" s="319">
        <v>44398</v>
      </c>
      <c r="K119" s="286">
        <f t="shared" si="6"/>
        <v>-8.4615384615384648E-2</v>
      </c>
      <c r="L119" s="286">
        <f t="shared" si="7"/>
        <v>2.4999999999999911E-2</v>
      </c>
      <c r="M119" s="353">
        <v>44435</v>
      </c>
      <c r="N119" s="328"/>
      <c r="O119" s="329">
        <v>66953307</v>
      </c>
      <c r="P119" s="329">
        <v>62850000</v>
      </c>
      <c r="Q119" s="329">
        <v>9</v>
      </c>
      <c r="R119" s="328" t="s">
        <v>131</v>
      </c>
      <c r="S119" s="330" t="s">
        <v>148</v>
      </c>
      <c r="T119" s="328" t="s">
        <v>163</v>
      </c>
      <c r="U119" s="22">
        <v>284</v>
      </c>
      <c r="V119" s="22">
        <v>12551318</v>
      </c>
      <c r="W119" s="22"/>
      <c r="X119" s="22"/>
      <c r="Y119" s="54"/>
      <c r="Z119" s="54"/>
      <c r="AA119" s="54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</row>
    <row r="120" spans="1:95" ht="15.75" customHeight="1" thickBot="1" x14ac:dyDescent="0.3">
      <c r="A120" s="325" t="s">
        <v>732</v>
      </c>
      <c r="B120" s="281" t="s">
        <v>128</v>
      </c>
      <c r="C120" s="326">
        <v>1</v>
      </c>
      <c r="D120" s="281" t="s">
        <v>336</v>
      </c>
      <c r="E120" s="282"/>
      <c r="F120" s="283">
        <v>4.37</v>
      </c>
      <c r="G120" s="284">
        <v>44389</v>
      </c>
      <c r="H120" s="351">
        <v>3.32</v>
      </c>
      <c r="I120" s="318">
        <v>4.38</v>
      </c>
      <c r="J120" s="319">
        <v>44390</v>
      </c>
      <c r="K120" s="286">
        <f t="shared" si="6"/>
        <v>-0.2402745995423341</v>
      </c>
      <c r="L120" s="286">
        <f t="shared" si="7"/>
        <v>2.2883295194506825E-3</v>
      </c>
      <c r="M120" s="353">
        <v>44435</v>
      </c>
      <c r="N120" s="328"/>
      <c r="O120" s="329">
        <v>8085495</v>
      </c>
      <c r="P120" s="329">
        <v>6620000</v>
      </c>
      <c r="Q120" s="329">
        <v>1</v>
      </c>
      <c r="R120" s="328" t="s">
        <v>131</v>
      </c>
      <c r="S120" s="330" t="s">
        <v>188</v>
      </c>
      <c r="T120" s="328" t="s">
        <v>189</v>
      </c>
      <c r="U120" s="22">
        <v>212</v>
      </c>
      <c r="V120" s="22">
        <v>805118</v>
      </c>
      <c r="W120" s="22"/>
      <c r="X120" s="22"/>
      <c r="Y120" s="54"/>
      <c r="Z120" s="54"/>
      <c r="AA120" s="54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</row>
    <row r="121" spans="1:95" ht="15.75" customHeight="1" thickBot="1" x14ac:dyDescent="0.3">
      <c r="A121" s="325" t="s">
        <v>745</v>
      </c>
      <c r="B121" s="281" t="s">
        <v>128</v>
      </c>
      <c r="C121" s="326">
        <v>1</v>
      </c>
      <c r="D121" s="281" t="s">
        <v>541</v>
      </c>
      <c r="E121" s="282"/>
      <c r="F121" s="283">
        <v>1.8</v>
      </c>
      <c r="G121" s="284">
        <v>44389</v>
      </c>
      <c r="H121" s="351">
        <v>1.69</v>
      </c>
      <c r="I121" s="285">
        <v>1.8</v>
      </c>
      <c r="J121" s="319">
        <v>44389</v>
      </c>
      <c r="K121" s="286">
        <f t="shared" si="6"/>
        <v>-6.1111111111111116E-2</v>
      </c>
      <c r="L121" s="286">
        <f t="shared" si="7"/>
        <v>0</v>
      </c>
      <c r="M121" s="353">
        <v>44435</v>
      </c>
      <c r="N121" s="328"/>
      <c r="O121" s="329">
        <v>18085355</v>
      </c>
      <c r="P121" s="329">
        <v>12210000</v>
      </c>
      <c r="Q121" s="329"/>
      <c r="R121" s="328" t="s">
        <v>152</v>
      </c>
      <c r="S121" s="330" t="s">
        <v>132</v>
      </c>
      <c r="T121" s="328" t="s">
        <v>542</v>
      </c>
      <c r="U121" s="22">
        <v>12</v>
      </c>
      <c r="V121" s="22">
        <v>252442</v>
      </c>
      <c r="W121" s="22"/>
      <c r="X121" s="22"/>
      <c r="Y121" s="54"/>
      <c r="Z121" s="54"/>
      <c r="AA121" s="54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</row>
    <row r="122" spans="1:95" ht="15.75" customHeight="1" thickBot="1" x14ac:dyDescent="0.3">
      <c r="A122" s="325" t="s">
        <v>806</v>
      </c>
      <c r="B122" s="281" t="s">
        <v>128</v>
      </c>
      <c r="C122" s="326">
        <v>0</v>
      </c>
      <c r="D122" s="281" t="s">
        <v>280</v>
      </c>
      <c r="E122" s="282"/>
      <c r="F122" s="283">
        <v>2.3199999999999998</v>
      </c>
      <c r="G122" s="284">
        <v>44386</v>
      </c>
      <c r="H122" s="351">
        <v>15.3</v>
      </c>
      <c r="I122" s="318">
        <v>24.4</v>
      </c>
      <c r="J122" s="319">
        <v>44389</v>
      </c>
      <c r="K122" s="286">
        <f t="shared" si="6"/>
        <v>5.5948275862068977</v>
      </c>
      <c r="L122" s="286">
        <f t="shared" si="7"/>
        <v>9.5172413793103452</v>
      </c>
      <c r="M122" s="353">
        <v>44435</v>
      </c>
      <c r="N122" s="328"/>
      <c r="O122" s="329">
        <v>200565683</v>
      </c>
      <c r="P122" s="329">
        <v>141830000</v>
      </c>
      <c r="Q122" s="329">
        <v>3</v>
      </c>
      <c r="R122" s="328" t="s">
        <v>131</v>
      </c>
      <c r="S122" s="330" t="s">
        <v>281</v>
      </c>
      <c r="T122" s="328" t="s">
        <v>282</v>
      </c>
      <c r="U122" s="22">
        <v>2004</v>
      </c>
      <c r="V122" s="22">
        <v>2288067</v>
      </c>
      <c r="W122" s="22"/>
      <c r="X122" s="22"/>
      <c r="Y122" s="54"/>
      <c r="Z122" s="54"/>
      <c r="AA122" s="54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</row>
    <row r="123" spans="1:95" ht="15.75" customHeight="1" thickBot="1" x14ac:dyDescent="0.3">
      <c r="A123" s="325" t="s">
        <v>806</v>
      </c>
      <c r="B123" s="281" t="s">
        <v>128</v>
      </c>
      <c r="C123" s="326">
        <v>0</v>
      </c>
      <c r="D123" s="281" t="s">
        <v>754</v>
      </c>
      <c r="E123" s="282"/>
      <c r="F123" s="283">
        <v>43.24</v>
      </c>
      <c r="G123" s="284">
        <v>44386</v>
      </c>
      <c r="H123" s="351">
        <v>31</v>
      </c>
      <c r="I123" s="318">
        <v>43.83</v>
      </c>
      <c r="J123" s="319">
        <v>44389</v>
      </c>
      <c r="K123" s="286">
        <f t="shared" si="6"/>
        <v>-0.28307123034227566</v>
      </c>
      <c r="L123" s="286">
        <f t="shared" si="7"/>
        <v>1.3644773358001849E-2</v>
      </c>
      <c r="M123" s="353">
        <v>44435</v>
      </c>
      <c r="N123" s="328"/>
      <c r="O123" s="329">
        <v>38278344</v>
      </c>
      <c r="P123" s="329">
        <v>29060000</v>
      </c>
      <c r="Q123" s="329">
        <v>3</v>
      </c>
      <c r="R123" s="328" t="s">
        <v>131</v>
      </c>
      <c r="S123" s="330" t="s">
        <v>148</v>
      </c>
      <c r="T123" s="328" t="s">
        <v>154</v>
      </c>
      <c r="U123" s="22">
        <v>48</v>
      </c>
      <c r="V123" s="22">
        <v>88385</v>
      </c>
      <c r="W123" s="22"/>
      <c r="X123" s="22"/>
      <c r="Y123" s="54"/>
      <c r="Z123" s="54"/>
      <c r="AA123" s="54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</row>
    <row r="124" spans="1:95" ht="15.75" customHeight="1" thickBot="1" x14ac:dyDescent="0.3">
      <c r="A124" s="325"/>
      <c r="B124" s="281" t="s">
        <v>128</v>
      </c>
      <c r="C124" s="326">
        <v>0</v>
      </c>
      <c r="D124" s="281" t="s">
        <v>210</v>
      </c>
      <c r="E124" s="330"/>
      <c r="F124" s="283">
        <v>4.16</v>
      </c>
      <c r="G124" s="284">
        <v>44386</v>
      </c>
      <c r="H124" s="351">
        <v>3.47</v>
      </c>
      <c r="I124" s="318">
        <v>4.4798999999999998</v>
      </c>
      <c r="J124" s="319">
        <v>44389</v>
      </c>
      <c r="K124" s="286">
        <f t="shared" si="6"/>
        <v>-0.16586538461538458</v>
      </c>
      <c r="L124" s="286">
        <f t="shared" si="7"/>
        <v>7.6899038461538449E-2</v>
      </c>
      <c r="M124" s="353">
        <v>44435</v>
      </c>
      <c r="N124" s="328"/>
      <c r="O124" s="329">
        <v>19168609</v>
      </c>
      <c r="P124" s="329">
        <v>7380000</v>
      </c>
      <c r="Q124" s="329">
        <v>3</v>
      </c>
      <c r="R124" s="328" t="s">
        <v>211</v>
      </c>
      <c r="S124" s="330" t="s">
        <v>135</v>
      </c>
      <c r="T124" s="328" t="s">
        <v>136</v>
      </c>
      <c r="U124" s="22">
        <v>40</v>
      </c>
      <c r="V124" s="22">
        <v>328492</v>
      </c>
      <c r="W124" s="22"/>
      <c r="X124" s="22"/>
      <c r="Y124" s="54"/>
      <c r="Z124" s="54"/>
      <c r="AA124" s="54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</row>
    <row r="125" spans="1:95" ht="15.75" customHeight="1" thickBot="1" x14ac:dyDescent="0.3">
      <c r="A125" s="325" t="s">
        <v>745</v>
      </c>
      <c r="B125" s="281" t="s">
        <v>128</v>
      </c>
      <c r="C125" s="326">
        <v>1</v>
      </c>
      <c r="D125" s="281" t="s">
        <v>570</v>
      </c>
      <c r="E125" s="282"/>
      <c r="F125" s="283">
        <v>2.33</v>
      </c>
      <c r="G125" s="284">
        <v>44386</v>
      </c>
      <c r="H125" s="351">
        <v>1.81</v>
      </c>
      <c r="I125" s="318">
        <v>2.36</v>
      </c>
      <c r="J125" s="319">
        <v>44389</v>
      </c>
      <c r="K125" s="286">
        <f t="shared" si="6"/>
        <v>-0.22317596566523601</v>
      </c>
      <c r="L125" s="286">
        <f t="shared" si="7"/>
        <v>1.2875536480686511E-2</v>
      </c>
      <c r="M125" s="353">
        <v>44435</v>
      </c>
      <c r="N125" s="328"/>
      <c r="O125" s="329">
        <v>21390290</v>
      </c>
      <c r="P125" s="329">
        <v>15930000</v>
      </c>
      <c r="Q125" s="329">
        <v>3</v>
      </c>
      <c r="R125" s="328" t="s">
        <v>131</v>
      </c>
      <c r="S125" s="330" t="s">
        <v>148</v>
      </c>
      <c r="T125" s="328" t="s">
        <v>154</v>
      </c>
      <c r="U125" s="22">
        <v>436</v>
      </c>
      <c r="V125" s="22">
        <v>1097530</v>
      </c>
      <c r="W125" s="22"/>
      <c r="X125" s="22"/>
      <c r="Y125" s="54"/>
      <c r="Z125" s="54"/>
      <c r="AA125" s="54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</row>
    <row r="126" spans="1:95" ht="15.75" customHeight="1" thickBot="1" x14ac:dyDescent="0.3">
      <c r="A126" s="325" t="s">
        <v>806</v>
      </c>
      <c r="B126" s="281" t="s">
        <v>128</v>
      </c>
      <c r="C126" s="326">
        <v>0</v>
      </c>
      <c r="D126" s="281" t="s">
        <v>844</v>
      </c>
      <c r="E126" s="60" t="s">
        <v>845</v>
      </c>
      <c r="F126" s="283">
        <v>191.23</v>
      </c>
      <c r="G126" s="284">
        <v>44386</v>
      </c>
      <c r="H126" s="351">
        <v>204.95</v>
      </c>
      <c r="I126" s="351">
        <v>227</v>
      </c>
      <c r="J126" s="352">
        <v>44433</v>
      </c>
      <c r="K126" s="286">
        <f t="shared" si="6"/>
        <v>7.1746064947968424E-2</v>
      </c>
      <c r="L126" s="286">
        <f t="shared" si="7"/>
        <v>0.1870522407572035</v>
      </c>
      <c r="M126" s="353">
        <v>44435</v>
      </c>
      <c r="N126" s="328"/>
      <c r="O126" s="329">
        <v>71815131</v>
      </c>
      <c r="P126" s="329">
        <v>58190000</v>
      </c>
      <c r="Q126" s="329">
        <v>47</v>
      </c>
      <c r="R126" s="328" t="s">
        <v>131</v>
      </c>
      <c r="S126" s="330" t="s">
        <v>192</v>
      </c>
      <c r="T126" s="328" t="s">
        <v>825</v>
      </c>
      <c r="U126" s="22">
        <v>2004</v>
      </c>
      <c r="V126" s="22">
        <v>1582925</v>
      </c>
      <c r="W126" s="22"/>
      <c r="X126" s="22"/>
      <c r="Y126" s="54"/>
      <c r="Z126" s="54"/>
      <c r="AA126" s="54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</row>
    <row r="127" spans="1:95" ht="15.75" customHeight="1" thickBot="1" x14ac:dyDescent="0.3">
      <c r="A127" s="325" t="s">
        <v>806</v>
      </c>
      <c r="B127" s="281" t="s">
        <v>128</v>
      </c>
      <c r="C127" s="326">
        <v>0</v>
      </c>
      <c r="D127" s="281" t="s">
        <v>535</v>
      </c>
      <c r="E127" s="282"/>
      <c r="F127" s="283">
        <v>20.53</v>
      </c>
      <c r="G127" s="284">
        <v>44386</v>
      </c>
      <c r="H127" s="351">
        <v>17.989999999999998</v>
      </c>
      <c r="I127" s="351">
        <v>20.89</v>
      </c>
      <c r="J127" s="352">
        <v>44432</v>
      </c>
      <c r="K127" s="286">
        <f t="shared" si="6"/>
        <v>-0.12372138334145166</v>
      </c>
      <c r="L127" s="286">
        <f t="shared" si="7"/>
        <v>1.7535314174379035E-2</v>
      </c>
      <c r="M127" s="353">
        <v>44435</v>
      </c>
      <c r="N127" s="328"/>
      <c r="O127" s="329">
        <v>8516823</v>
      </c>
      <c r="P127" s="329">
        <v>2570000</v>
      </c>
      <c r="Q127" s="329">
        <v>46</v>
      </c>
      <c r="R127" s="328" t="s">
        <v>131</v>
      </c>
      <c r="S127" s="330" t="s">
        <v>148</v>
      </c>
      <c r="T127" s="328" t="s">
        <v>536</v>
      </c>
      <c r="U127" s="22">
        <v>1044</v>
      </c>
      <c r="V127" s="22">
        <v>150435</v>
      </c>
      <c r="W127" s="22"/>
      <c r="X127" s="22"/>
      <c r="Y127" s="54"/>
      <c r="Z127" s="54"/>
      <c r="AA127" s="54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</row>
    <row r="128" spans="1:95" ht="15.75" customHeight="1" thickBot="1" x14ac:dyDescent="0.3">
      <c r="A128" s="325"/>
      <c r="B128" s="281" t="s">
        <v>128</v>
      </c>
      <c r="C128" s="326">
        <v>0</v>
      </c>
      <c r="D128" s="281" t="s">
        <v>286</v>
      </c>
      <c r="E128" s="282"/>
      <c r="F128" s="283">
        <v>1.65</v>
      </c>
      <c r="G128" s="284">
        <v>44386</v>
      </c>
      <c r="H128" s="351">
        <v>1.43</v>
      </c>
      <c r="I128" s="318">
        <v>1.96</v>
      </c>
      <c r="J128" s="319">
        <v>44398</v>
      </c>
      <c r="K128" s="286">
        <f t="shared" si="6"/>
        <v>-0.1333333333333333</v>
      </c>
      <c r="L128" s="286">
        <f t="shared" si="7"/>
        <v>0.18787878787878798</v>
      </c>
      <c r="M128" s="353">
        <v>44435</v>
      </c>
      <c r="N128" s="328"/>
      <c r="O128" s="329">
        <v>25120000</v>
      </c>
      <c r="P128" s="329">
        <v>12030000</v>
      </c>
      <c r="Q128" s="329">
        <v>12</v>
      </c>
      <c r="R128" s="328" t="s">
        <v>152</v>
      </c>
      <c r="S128" s="330" t="s">
        <v>135</v>
      </c>
      <c r="T128" s="328" t="s">
        <v>133</v>
      </c>
      <c r="U128" s="22">
        <v>256</v>
      </c>
      <c r="V128" s="22">
        <v>1091269</v>
      </c>
      <c r="W128" s="22"/>
      <c r="X128" s="22"/>
      <c r="Y128" s="54"/>
      <c r="Z128" s="54"/>
      <c r="AA128" s="54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</row>
    <row r="129" spans="1:95" ht="15.75" customHeight="1" thickBot="1" x14ac:dyDescent="0.3">
      <c r="A129" s="325"/>
      <c r="B129" s="281" t="s">
        <v>128</v>
      </c>
      <c r="C129" s="326">
        <v>0</v>
      </c>
      <c r="D129" s="281" t="s">
        <v>291</v>
      </c>
      <c r="E129" s="282"/>
      <c r="F129" s="283">
        <v>4.24</v>
      </c>
      <c r="G129" s="284">
        <v>44386</v>
      </c>
      <c r="H129" s="351">
        <v>3.42</v>
      </c>
      <c r="I129" s="318">
        <v>4.78</v>
      </c>
      <c r="J129" s="319">
        <v>44391</v>
      </c>
      <c r="K129" s="286">
        <f t="shared" si="6"/>
        <v>-0.19339622641509435</v>
      </c>
      <c r="L129" s="286">
        <f t="shared" si="7"/>
        <v>0.12735849056603765</v>
      </c>
      <c r="M129" s="353">
        <v>44435</v>
      </c>
      <c r="N129" s="328"/>
      <c r="O129" s="329">
        <v>9534014</v>
      </c>
      <c r="P129" s="329">
        <v>5810000</v>
      </c>
      <c r="Q129" s="329">
        <v>5</v>
      </c>
      <c r="R129" s="328" t="s">
        <v>152</v>
      </c>
      <c r="S129" s="330" t="s">
        <v>135</v>
      </c>
      <c r="T129" s="328" t="s">
        <v>292</v>
      </c>
      <c r="U129" s="22">
        <v>256</v>
      </c>
      <c r="V129" s="22">
        <v>111763</v>
      </c>
      <c r="W129" s="22"/>
      <c r="X129" s="22"/>
      <c r="Y129" s="54"/>
      <c r="Z129" s="54"/>
      <c r="AA129" s="54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</row>
    <row r="130" spans="1:95" ht="15.75" customHeight="1" thickBot="1" x14ac:dyDescent="0.3">
      <c r="A130" s="325" t="s">
        <v>800</v>
      </c>
      <c r="B130" s="281" t="s">
        <v>128</v>
      </c>
      <c r="C130" s="326">
        <v>0</v>
      </c>
      <c r="D130" s="281" t="s">
        <v>651</v>
      </c>
      <c r="E130" s="282"/>
      <c r="F130" s="283">
        <v>10.19</v>
      </c>
      <c r="G130" s="284">
        <v>44386</v>
      </c>
      <c r="H130" s="351">
        <v>11.25</v>
      </c>
      <c r="I130" s="351">
        <v>14.234999999999999</v>
      </c>
      <c r="J130" s="352">
        <v>44434</v>
      </c>
      <c r="K130" s="286">
        <f t="shared" si="6"/>
        <v>0.10402355250245354</v>
      </c>
      <c r="L130" s="286">
        <f t="shared" si="7"/>
        <v>0.39695780176643769</v>
      </c>
      <c r="M130" s="353">
        <v>44435</v>
      </c>
      <c r="N130" s="328"/>
      <c r="O130" s="329">
        <v>12398873</v>
      </c>
      <c r="P130" s="329">
        <v>6420000</v>
      </c>
      <c r="Q130" s="329">
        <v>48</v>
      </c>
      <c r="R130" s="328" t="s">
        <v>211</v>
      </c>
      <c r="S130" s="330" t="s">
        <v>192</v>
      </c>
      <c r="T130" s="328" t="s">
        <v>193</v>
      </c>
      <c r="U130" s="22">
        <v>300</v>
      </c>
      <c r="V130" s="22">
        <v>1542757</v>
      </c>
      <c r="W130" s="22"/>
      <c r="X130" s="22"/>
      <c r="Y130" s="54"/>
      <c r="Z130" s="54"/>
      <c r="AA130" s="54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</row>
    <row r="131" spans="1:95" ht="15.75" customHeight="1" thickBot="1" x14ac:dyDescent="0.3">
      <c r="A131" s="325" t="s">
        <v>810</v>
      </c>
      <c r="B131" s="281" t="s">
        <v>128</v>
      </c>
      <c r="C131" s="326">
        <v>0</v>
      </c>
      <c r="D131" s="281" t="s">
        <v>846</v>
      </c>
      <c r="E131" s="282"/>
      <c r="F131" s="283">
        <v>5.43</v>
      </c>
      <c r="G131" s="284">
        <v>44384</v>
      </c>
      <c r="H131" s="351">
        <v>4.29</v>
      </c>
      <c r="I131" s="318">
        <v>5.89</v>
      </c>
      <c r="J131" s="319">
        <v>44398</v>
      </c>
      <c r="K131" s="286">
        <f t="shared" si="6"/>
        <v>-0.20994475138121538</v>
      </c>
      <c r="L131" s="286">
        <f t="shared" si="7"/>
        <v>8.4714548802946599E-2</v>
      </c>
      <c r="M131" s="353">
        <v>44435</v>
      </c>
      <c r="N131" s="328"/>
      <c r="O131" s="329">
        <v>21186827</v>
      </c>
      <c r="P131" s="329">
        <v>19040000</v>
      </c>
      <c r="Q131" s="329">
        <v>14</v>
      </c>
      <c r="R131" s="328" t="s">
        <v>131</v>
      </c>
      <c r="S131" s="330" t="s">
        <v>148</v>
      </c>
      <c r="T131" s="328" t="s">
        <v>154</v>
      </c>
      <c r="U131" s="22">
        <v>388</v>
      </c>
      <c r="V131" s="22">
        <v>2218046</v>
      </c>
      <c r="W131" s="22"/>
      <c r="X131" s="22"/>
      <c r="Y131" s="54"/>
      <c r="Z131" s="54"/>
      <c r="AA131" s="54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</row>
    <row r="132" spans="1:95" ht="15.75" customHeight="1" thickBot="1" x14ac:dyDescent="0.3">
      <c r="A132" s="325" t="s">
        <v>847</v>
      </c>
      <c r="B132" s="281" t="s">
        <v>128</v>
      </c>
      <c r="C132" s="326">
        <v>0</v>
      </c>
      <c r="D132" s="281" t="s">
        <v>848</v>
      </c>
      <c r="E132" s="330"/>
      <c r="F132" s="283">
        <v>11.41</v>
      </c>
      <c r="G132" s="284">
        <v>44384</v>
      </c>
      <c r="H132" s="351">
        <v>9.1300000000000008</v>
      </c>
      <c r="I132" s="318">
        <v>12.37</v>
      </c>
      <c r="J132" s="319">
        <v>44390</v>
      </c>
      <c r="K132" s="286">
        <f t="shared" si="6"/>
        <v>-0.1998247151621384</v>
      </c>
      <c r="L132" s="286">
        <f t="shared" si="7"/>
        <v>8.4136722173531853E-2</v>
      </c>
      <c r="M132" s="353">
        <v>44435</v>
      </c>
      <c r="N132" s="328"/>
      <c r="O132" s="329">
        <v>42326219</v>
      </c>
      <c r="P132" s="329">
        <v>18840000</v>
      </c>
      <c r="Q132" s="329">
        <v>6</v>
      </c>
      <c r="R132" s="328" t="s">
        <v>131</v>
      </c>
      <c r="S132" s="330" t="s">
        <v>148</v>
      </c>
      <c r="T132" s="328" t="s">
        <v>292</v>
      </c>
      <c r="U132" s="22">
        <v>68</v>
      </c>
      <c r="V132" s="22">
        <v>280312</v>
      </c>
      <c r="W132" s="22"/>
      <c r="X132" s="22"/>
      <c r="Y132" s="54"/>
      <c r="Z132" s="54"/>
      <c r="AA132" s="54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</row>
    <row r="133" spans="1:95" ht="15.75" customHeight="1" thickBot="1" x14ac:dyDescent="0.3">
      <c r="A133" s="325" t="s">
        <v>847</v>
      </c>
      <c r="B133" s="281" t="s">
        <v>128</v>
      </c>
      <c r="C133" s="326">
        <v>0</v>
      </c>
      <c r="D133" s="281" t="s">
        <v>223</v>
      </c>
      <c r="E133" s="282"/>
      <c r="F133" s="283">
        <v>16.329999999999998</v>
      </c>
      <c r="G133" s="284">
        <v>44384</v>
      </c>
      <c r="H133" s="351">
        <v>17.39</v>
      </c>
      <c r="I133" s="318">
        <v>18.675000000000001</v>
      </c>
      <c r="J133" s="319">
        <v>44386</v>
      </c>
      <c r="K133" s="286">
        <f t="shared" si="6"/>
        <v>6.4911206368646779E-2</v>
      </c>
      <c r="L133" s="286">
        <f t="shared" si="7"/>
        <v>0.14360073484384595</v>
      </c>
      <c r="M133" s="353">
        <v>44435</v>
      </c>
      <c r="N133" s="328"/>
      <c r="O133" s="329">
        <v>59083706</v>
      </c>
      <c r="P133" s="329">
        <v>45290000</v>
      </c>
      <c r="Q133" s="329">
        <v>2</v>
      </c>
      <c r="R133" s="328" t="s">
        <v>131</v>
      </c>
      <c r="S133" s="330" t="s">
        <v>148</v>
      </c>
      <c r="T133" s="328" t="s">
        <v>154</v>
      </c>
      <c r="U133" s="22">
        <v>1264</v>
      </c>
      <c r="V133" s="22">
        <v>879391</v>
      </c>
      <c r="W133" s="22"/>
      <c r="X133" s="22"/>
      <c r="Y133" s="54"/>
      <c r="Z133" s="54"/>
      <c r="AA133" s="54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</row>
    <row r="134" spans="1:95" ht="15.75" customHeight="1" thickBot="1" x14ac:dyDescent="0.3">
      <c r="A134" s="325" t="s">
        <v>745</v>
      </c>
      <c r="B134" s="281" t="s">
        <v>128</v>
      </c>
      <c r="C134" s="326">
        <v>0</v>
      </c>
      <c r="D134" s="281" t="s">
        <v>219</v>
      </c>
      <c r="E134" s="60" t="s">
        <v>849</v>
      </c>
      <c r="F134" s="283">
        <v>1.1200000000000001</v>
      </c>
      <c r="G134" s="284">
        <v>44384</v>
      </c>
      <c r="H134" s="351">
        <v>0.76939999999999997</v>
      </c>
      <c r="I134" s="318">
        <v>1.19</v>
      </c>
      <c r="J134" s="319">
        <v>44391</v>
      </c>
      <c r="K134" s="286">
        <f t="shared" ref="K134:K165" si="8">IF(F134&lt;&gt;"", (H134/F134)-100%, "")</f>
        <v>-0.31303571428571442</v>
      </c>
      <c r="L134" s="286">
        <f t="shared" ref="L134:L165" si="9">IF(F134&lt;&gt;"", (I134/F134)-100%, "")</f>
        <v>6.2499999999999778E-2</v>
      </c>
      <c r="M134" s="353">
        <v>44435</v>
      </c>
      <c r="N134" s="328"/>
      <c r="O134" s="329">
        <v>90068356</v>
      </c>
      <c r="P134" s="329">
        <v>54830000</v>
      </c>
      <c r="Q134" s="329">
        <v>7</v>
      </c>
      <c r="R134" s="328" t="s">
        <v>131</v>
      </c>
      <c r="S134" s="330" t="s">
        <v>220</v>
      </c>
      <c r="T134" s="328" t="s">
        <v>221</v>
      </c>
      <c r="U134" s="22">
        <v>208</v>
      </c>
      <c r="V134" s="22">
        <v>4914962</v>
      </c>
      <c r="W134" s="22"/>
      <c r="X134" s="22"/>
      <c r="Y134" s="54"/>
      <c r="Z134" s="54"/>
      <c r="AA134" s="54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</row>
    <row r="135" spans="1:95" ht="15.75" customHeight="1" thickBot="1" x14ac:dyDescent="0.3">
      <c r="A135" s="325" t="s">
        <v>837</v>
      </c>
      <c r="B135" s="281" t="s">
        <v>181</v>
      </c>
      <c r="C135" s="326">
        <v>0</v>
      </c>
      <c r="D135" s="332" t="s">
        <v>850</v>
      </c>
      <c r="E135" s="282"/>
      <c r="F135" s="283">
        <v>6.9999999999999999E-4</v>
      </c>
      <c r="G135" s="284">
        <v>44383</v>
      </c>
      <c r="H135" s="351">
        <v>2.9999999999999997E-4</v>
      </c>
      <c r="I135" s="318">
        <v>1.1000000000000001E-3</v>
      </c>
      <c r="J135" s="319">
        <v>44390</v>
      </c>
      <c r="K135" s="286">
        <f t="shared" si="8"/>
        <v>-0.5714285714285714</v>
      </c>
      <c r="L135" s="286">
        <f t="shared" si="9"/>
        <v>0.57142857142857162</v>
      </c>
      <c r="M135" s="353">
        <v>44435</v>
      </c>
      <c r="N135" s="328"/>
      <c r="O135" s="329">
        <v>7905824022</v>
      </c>
      <c r="P135" s="329"/>
      <c r="Q135" s="329">
        <v>7</v>
      </c>
      <c r="R135" s="328"/>
      <c r="S135" s="330"/>
      <c r="T135" s="328"/>
      <c r="U135" s="22">
        <v>60</v>
      </c>
      <c r="V135" s="22">
        <v>51062200</v>
      </c>
      <c r="W135" s="22"/>
      <c r="X135" s="22"/>
      <c r="Y135" s="54"/>
      <c r="Z135" s="54"/>
      <c r="AA135" s="54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</row>
    <row r="136" spans="1:95" ht="15.75" customHeight="1" thickBot="1" x14ac:dyDescent="0.3">
      <c r="A136" s="325"/>
      <c r="B136" s="36" t="s">
        <v>128</v>
      </c>
      <c r="C136" s="326">
        <v>0</v>
      </c>
      <c r="D136" s="333" t="s">
        <v>130</v>
      </c>
      <c r="E136" s="282"/>
      <c r="F136" s="283">
        <v>2.64</v>
      </c>
      <c r="G136" s="284">
        <v>44383</v>
      </c>
      <c r="H136" s="351">
        <v>2.0099999999999998</v>
      </c>
      <c r="I136" s="318">
        <v>2.7545999999999999</v>
      </c>
      <c r="J136" s="319">
        <v>44384</v>
      </c>
      <c r="K136" s="286">
        <f t="shared" si="8"/>
        <v>-0.23863636363636376</v>
      </c>
      <c r="L136" s="286">
        <f t="shared" si="9"/>
        <v>4.3409090909090731E-2</v>
      </c>
      <c r="M136" s="353">
        <v>44435</v>
      </c>
      <c r="N136" s="328"/>
      <c r="O136" s="329">
        <v>20565566</v>
      </c>
      <c r="P136" s="329">
        <v>10090000</v>
      </c>
      <c r="Q136" s="329">
        <v>1</v>
      </c>
      <c r="R136" s="328" t="s">
        <v>131</v>
      </c>
      <c r="S136" s="330" t="s">
        <v>132</v>
      </c>
      <c r="T136" s="328" t="s">
        <v>133</v>
      </c>
      <c r="U136" s="22">
        <v>184</v>
      </c>
      <c r="V136" s="22">
        <v>3240277</v>
      </c>
      <c r="W136" s="22"/>
      <c r="X136" s="22"/>
      <c r="Y136" s="54"/>
      <c r="Z136" s="54"/>
      <c r="AA136" s="54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</row>
    <row r="137" spans="1:95" ht="15.75" customHeight="1" thickBot="1" x14ac:dyDescent="0.3">
      <c r="A137" s="325" t="s">
        <v>851</v>
      </c>
      <c r="B137" s="36" t="s">
        <v>128</v>
      </c>
      <c r="C137" s="326">
        <v>0</v>
      </c>
      <c r="D137" s="281" t="s">
        <v>852</v>
      </c>
      <c r="E137" s="282"/>
      <c r="F137" s="283">
        <v>1.85</v>
      </c>
      <c r="G137" s="284">
        <v>44383</v>
      </c>
      <c r="H137" s="351">
        <v>1.39</v>
      </c>
      <c r="I137" s="318">
        <v>1.86</v>
      </c>
      <c r="J137" s="319">
        <v>44384</v>
      </c>
      <c r="K137" s="286">
        <f t="shared" si="8"/>
        <v>-0.24864864864864877</v>
      </c>
      <c r="L137" s="286">
        <f t="shared" si="9"/>
        <v>5.4054054054053502E-3</v>
      </c>
      <c r="M137" s="353">
        <v>44435</v>
      </c>
      <c r="N137" s="328"/>
      <c r="O137" s="329">
        <v>31304915</v>
      </c>
      <c r="P137" s="329">
        <v>25400000</v>
      </c>
      <c r="Q137" s="329">
        <v>1</v>
      </c>
      <c r="R137" s="328" t="s">
        <v>152</v>
      </c>
      <c r="S137" s="330" t="s">
        <v>157</v>
      </c>
      <c r="T137" s="328" t="s">
        <v>853</v>
      </c>
      <c r="U137" s="22">
        <v>2004</v>
      </c>
      <c r="V137" s="22">
        <v>724555</v>
      </c>
      <c r="W137" s="22"/>
      <c r="X137" s="22"/>
      <c r="Y137" s="54"/>
      <c r="Z137" s="54"/>
      <c r="AA137" s="54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</row>
    <row r="138" spans="1:95" ht="15.75" customHeight="1" thickBot="1" x14ac:dyDescent="0.3">
      <c r="A138" s="325" t="s">
        <v>851</v>
      </c>
      <c r="B138" s="36" t="s">
        <v>128</v>
      </c>
      <c r="C138" s="326">
        <v>0</v>
      </c>
      <c r="D138" s="300" t="s">
        <v>854</v>
      </c>
      <c r="E138" s="282"/>
      <c r="F138" s="283">
        <v>1.59</v>
      </c>
      <c r="G138" s="284">
        <v>44383</v>
      </c>
      <c r="H138" s="351">
        <v>1.31</v>
      </c>
      <c r="I138" s="318">
        <v>1.94</v>
      </c>
      <c r="J138" s="319">
        <v>44386</v>
      </c>
      <c r="K138" s="286">
        <f t="shared" si="8"/>
        <v>-0.17610062893081757</v>
      </c>
      <c r="L138" s="286">
        <f t="shared" si="9"/>
        <v>0.22012578616352196</v>
      </c>
      <c r="M138" s="353">
        <v>44435</v>
      </c>
      <c r="N138" s="328"/>
      <c r="O138" s="329">
        <v>20879188</v>
      </c>
      <c r="P138" s="329">
        <v>6720000</v>
      </c>
      <c r="Q138" s="329">
        <v>3</v>
      </c>
      <c r="R138" s="328" t="s">
        <v>152</v>
      </c>
      <c r="S138" s="330" t="s">
        <v>281</v>
      </c>
      <c r="T138" s="328" t="s">
        <v>297</v>
      </c>
      <c r="U138" s="22">
        <v>12</v>
      </c>
      <c r="V138" s="22">
        <v>53807</v>
      </c>
      <c r="W138" s="22"/>
      <c r="X138" s="22"/>
      <c r="Y138" s="54"/>
      <c r="Z138" s="54"/>
      <c r="AA138" s="54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</row>
    <row r="139" spans="1:95" ht="15.75" customHeight="1" thickBot="1" x14ac:dyDescent="0.3">
      <c r="A139" s="325"/>
      <c r="B139" s="36" t="s">
        <v>128</v>
      </c>
      <c r="C139" s="326">
        <v>0</v>
      </c>
      <c r="D139" s="332" t="s">
        <v>227</v>
      </c>
      <c r="E139" s="60" t="s">
        <v>226</v>
      </c>
      <c r="F139" s="283">
        <v>2.23</v>
      </c>
      <c r="G139" s="284">
        <v>44383</v>
      </c>
      <c r="H139" s="351">
        <v>2.17</v>
      </c>
      <c r="I139" s="318">
        <v>2.59</v>
      </c>
      <c r="J139" s="319">
        <v>44389</v>
      </c>
      <c r="K139" s="286">
        <f t="shared" si="8"/>
        <v>-2.6905829596412634E-2</v>
      </c>
      <c r="L139" s="286">
        <f t="shared" si="9"/>
        <v>0.16143497757847536</v>
      </c>
      <c r="M139" s="353">
        <v>44435</v>
      </c>
      <c r="N139" s="328"/>
      <c r="O139" s="329">
        <v>12226577</v>
      </c>
      <c r="P139" s="329">
        <v>8970000</v>
      </c>
      <c r="Q139" s="329">
        <v>6</v>
      </c>
      <c r="R139" s="328" t="s">
        <v>131</v>
      </c>
      <c r="S139" s="330" t="s">
        <v>157</v>
      </c>
      <c r="T139" s="328" t="s">
        <v>133</v>
      </c>
      <c r="U139" s="22">
        <v>48</v>
      </c>
      <c r="V139" s="22">
        <v>1738231</v>
      </c>
      <c r="W139" s="22"/>
      <c r="X139" s="22"/>
      <c r="Y139" s="54"/>
      <c r="Z139" s="54"/>
      <c r="AA139" s="54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</row>
    <row r="140" spans="1:95" ht="15.75" customHeight="1" thickBot="1" x14ac:dyDescent="0.3">
      <c r="A140" s="325" t="s">
        <v>855</v>
      </c>
      <c r="B140" s="281" t="s">
        <v>181</v>
      </c>
      <c r="C140" s="326">
        <v>0</v>
      </c>
      <c r="D140" s="331" t="s">
        <v>856</v>
      </c>
      <c r="E140" s="282"/>
      <c r="F140" s="283">
        <v>5.9999999999999995E-4</v>
      </c>
      <c r="G140" s="284">
        <v>44383</v>
      </c>
      <c r="H140" s="351">
        <v>2.9999999999999997E-4</v>
      </c>
      <c r="I140" s="318">
        <v>6.9999999999999999E-4</v>
      </c>
      <c r="J140" s="319">
        <v>44390</v>
      </c>
      <c r="K140" s="286">
        <f t="shared" si="8"/>
        <v>-0.5</v>
      </c>
      <c r="L140" s="286">
        <f t="shared" si="9"/>
        <v>0.16666666666666674</v>
      </c>
      <c r="M140" s="353">
        <v>44435</v>
      </c>
      <c r="N140" s="328"/>
      <c r="O140" s="329">
        <v>8387459552</v>
      </c>
      <c r="P140" s="329"/>
      <c r="Q140" s="329">
        <v>7</v>
      </c>
      <c r="R140" s="328"/>
      <c r="S140" s="330" t="s">
        <v>157</v>
      </c>
      <c r="T140" s="328"/>
      <c r="U140" s="22">
        <v>108</v>
      </c>
      <c r="V140" s="22">
        <v>71438944</v>
      </c>
      <c r="W140" s="22"/>
      <c r="X140" s="22"/>
      <c r="Y140" s="54"/>
      <c r="Z140" s="54"/>
      <c r="AA140" s="54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</row>
    <row r="141" spans="1:95" ht="15.75" customHeight="1" thickBot="1" x14ac:dyDescent="0.3">
      <c r="A141" s="325" t="s">
        <v>837</v>
      </c>
      <c r="B141" s="281" t="s">
        <v>181</v>
      </c>
      <c r="C141" s="326">
        <v>0</v>
      </c>
      <c r="D141" s="300" t="s">
        <v>857</v>
      </c>
      <c r="E141" s="282"/>
      <c r="F141" s="283">
        <v>1.1000000000000001E-3</v>
      </c>
      <c r="G141" s="284">
        <v>44383</v>
      </c>
      <c r="H141" s="351">
        <v>5.9999999999999995E-4</v>
      </c>
      <c r="I141" s="318">
        <v>1.1999999999999999E-3</v>
      </c>
      <c r="J141" s="319">
        <v>44389</v>
      </c>
      <c r="K141" s="286">
        <f t="shared" si="8"/>
        <v>-0.45454545454545459</v>
      </c>
      <c r="L141" s="286">
        <f t="shared" si="9"/>
        <v>9.0909090909090828E-2</v>
      </c>
      <c r="M141" s="353">
        <v>44435</v>
      </c>
      <c r="N141" s="328"/>
      <c r="O141" s="329">
        <v>7693271060</v>
      </c>
      <c r="P141" s="329"/>
      <c r="Q141" s="329">
        <v>6</v>
      </c>
      <c r="R141" s="328"/>
      <c r="S141" s="330" t="s">
        <v>135</v>
      </c>
      <c r="T141" s="328"/>
      <c r="U141" s="22">
        <v>172</v>
      </c>
      <c r="V141" s="22">
        <v>15629498</v>
      </c>
      <c r="W141" s="22"/>
      <c r="X141" s="22"/>
      <c r="Y141" s="54"/>
      <c r="Z141" s="54"/>
      <c r="AA141" s="54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</row>
    <row r="142" spans="1:95" ht="15.75" customHeight="1" thickBot="1" x14ac:dyDescent="0.3">
      <c r="A142" s="325" t="s">
        <v>837</v>
      </c>
      <c r="B142" s="281" t="s">
        <v>181</v>
      </c>
      <c r="C142" s="326">
        <v>0</v>
      </c>
      <c r="D142" s="300" t="s">
        <v>858</v>
      </c>
      <c r="E142" s="282"/>
      <c r="F142" s="283">
        <v>1.1999999999999999E-3</v>
      </c>
      <c r="G142" s="284">
        <v>44383</v>
      </c>
      <c r="H142" s="351">
        <v>1.8E-3</v>
      </c>
      <c r="I142" s="318">
        <v>7.1999999999999998E-3</v>
      </c>
      <c r="J142" s="319">
        <v>44393</v>
      </c>
      <c r="K142" s="286">
        <f t="shared" si="8"/>
        <v>0.5</v>
      </c>
      <c r="L142" s="286">
        <f t="shared" si="9"/>
        <v>5</v>
      </c>
      <c r="M142" s="353">
        <v>44435</v>
      </c>
      <c r="N142" s="328"/>
      <c r="O142" s="329">
        <v>7000000000</v>
      </c>
      <c r="P142" s="329"/>
      <c r="Q142" s="329">
        <v>10</v>
      </c>
      <c r="R142" s="328"/>
      <c r="S142" s="330"/>
      <c r="T142" s="328"/>
      <c r="U142" s="22">
        <v>152</v>
      </c>
      <c r="V142" s="22">
        <v>39167238</v>
      </c>
      <c r="W142" s="22"/>
      <c r="X142" s="22"/>
      <c r="Y142" s="54"/>
      <c r="Z142" s="54"/>
      <c r="AA142" s="54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</row>
    <row r="143" spans="1:95" ht="15.75" customHeight="1" thickBot="1" x14ac:dyDescent="0.3">
      <c r="A143" s="325" t="s">
        <v>837</v>
      </c>
      <c r="B143" s="281" t="s">
        <v>181</v>
      </c>
      <c r="C143" s="326">
        <v>0</v>
      </c>
      <c r="D143" s="332" t="s">
        <v>859</v>
      </c>
      <c r="E143" s="282"/>
      <c r="F143" s="283">
        <v>8.0000000000000004E-4</v>
      </c>
      <c r="G143" s="284">
        <v>44383</v>
      </c>
      <c r="H143" s="351">
        <v>5.9999999999999995E-4</v>
      </c>
      <c r="I143" s="318">
        <v>1.1000000000000001E-3</v>
      </c>
      <c r="J143" s="319">
        <v>44390</v>
      </c>
      <c r="K143" s="286">
        <f t="shared" si="8"/>
        <v>-0.25000000000000011</v>
      </c>
      <c r="L143" s="286">
        <f t="shared" si="9"/>
        <v>0.375</v>
      </c>
      <c r="M143" s="353">
        <v>44435</v>
      </c>
      <c r="N143" s="328"/>
      <c r="O143" s="329">
        <v>24572500746</v>
      </c>
      <c r="P143" s="329"/>
      <c r="Q143" s="329">
        <v>7</v>
      </c>
      <c r="R143" s="328"/>
      <c r="S143" s="330"/>
      <c r="T143" s="328"/>
      <c r="U143" s="22">
        <v>16</v>
      </c>
      <c r="V143" s="22">
        <v>1628133</v>
      </c>
      <c r="W143" s="22"/>
      <c r="X143" s="22"/>
      <c r="Y143" s="54"/>
      <c r="Z143" s="54"/>
      <c r="AA143" s="54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</row>
    <row r="144" spans="1:95" ht="15.75" customHeight="1" thickBot="1" x14ac:dyDescent="0.3">
      <c r="A144" s="325" t="s">
        <v>837</v>
      </c>
      <c r="B144" s="281" t="s">
        <v>181</v>
      </c>
      <c r="C144" s="326">
        <v>0</v>
      </c>
      <c r="D144" s="281" t="s">
        <v>860</v>
      </c>
      <c r="E144" s="282"/>
      <c r="F144" s="283">
        <v>1E-3</v>
      </c>
      <c r="G144" s="284">
        <v>44383</v>
      </c>
      <c r="H144" s="351">
        <v>8.0000000000000004E-4</v>
      </c>
      <c r="I144" s="318">
        <v>1.5E-3</v>
      </c>
      <c r="J144" s="319">
        <v>44407</v>
      </c>
      <c r="K144" s="286">
        <f t="shared" si="8"/>
        <v>-0.19999999999999996</v>
      </c>
      <c r="L144" s="286">
        <f t="shared" si="9"/>
        <v>0.5</v>
      </c>
      <c r="M144" s="353">
        <v>44435</v>
      </c>
      <c r="N144" s="328"/>
      <c r="O144" s="329">
        <v>7225161617</v>
      </c>
      <c r="P144" s="329"/>
      <c r="Q144" s="329">
        <v>24</v>
      </c>
      <c r="R144" s="328"/>
      <c r="S144" s="330"/>
      <c r="T144" s="328"/>
      <c r="U144" s="22">
        <v>116</v>
      </c>
      <c r="V144" s="22">
        <v>52514230</v>
      </c>
      <c r="W144" s="22"/>
      <c r="X144" s="22"/>
      <c r="Y144" s="54"/>
      <c r="Z144" s="54"/>
      <c r="AA144" s="54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</row>
    <row r="145" spans="1:95" ht="15.75" customHeight="1" thickBot="1" x14ac:dyDescent="0.3">
      <c r="A145" s="325"/>
      <c r="B145" s="36" t="s">
        <v>128</v>
      </c>
      <c r="C145" s="326">
        <v>1</v>
      </c>
      <c r="D145" s="296" t="s">
        <v>286</v>
      </c>
      <c r="E145" s="282"/>
      <c r="F145" s="283">
        <v>1.78</v>
      </c>
      <c r="G145" s="284">
        <v>44383</v>
      </c>
      <c r="H145" s="351">
        <v>1.43</v>
      </c>
      <c r="I145" s="318">
        <v>1.96</v>
      </c>
      <c r="J145" s="319">
        <v>44398</v>
      </c>
      <c r="K145" s="286">
        <f t="shared" si="8"/>
        <v>-0.1966292134831461</v>
      </c>
      <c r="L145" s="286">
        <f t="shared" si="9"/>
        <v>0.101123595505618</v>
      </c>
      <c r="M145" s="353">
        <v>44435</v>
      </c>
      <c r="N145" s="328"/>
      <c r="O145" s="329">
        <v>25120000</v>
      </c>
      <c r="P145" s="329">
        <v>12030000</v>
      </c>
      <c r="Q145" s="329">
        <v>15</v>
      </c>
      <c r="R145" s="328" t="s">
        <v>152</v>
      </c>
      <c r="S145" s="330" t="s">
        <v>135</v>
      </c>
      <c r="T145" s="328" t="s">
        <v>133</v>
      </c>
      <c r="U145" s="22">
        <v>232</v>
      </c>
      <c r="V145" s="22">
        <v>947650</v>
      </c>
      <c r="W145" s="22"/>
      <c r="X145" s="22"/>
      <c r="Y145" s="54"/>
      <c r="Z145" s="54"/>
      <c r="AA145" s="54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</row>
    <row r="146" spans="1:95" ht="15.75" customHeight="1" thickBot="1" x14ac:dyDescent="0.3">
      <c r="A146" s="325"/>
      <c r="B146" s="36" t="s">
        <v>128</v>
      </c>
      <c r="C146" s="326">
        <v>1</v>
      </c>
      <c r="D146" s="300" t="s">
        <v>225</v>
      </c>
      <c r="E146" s="60" t="s">
        <v>861</v>
      </c>
      <c r="F146" s="283">
        <v>5.65</v>
      </c>
      <c r="G146" s="284">
        <v>44383</v>
      </c>
      <c r="H146" s="351">
        <v>3.67</v>
      </c>
      <c r="I146" s="318">
        <v>7.98</v>
      </c>
      <c r="J146" s="319">
        <v>44404</v>
      </c>
      <c r="K146" s="286">
        <f t="shared" si="8"/>
        <v>-0.35044247787610627</v>
      </c>
      <c r="L146" s="286">
        <f t="shared" si="9"/>
        <v>0.41238938053097351</v>
      </c>
      <c r="M146" s="353">
        <v>44435</v>
      </c>
      <c r="N146" s="328"/>
      <c r="O146" s="329">
        <v>7114774</v>
      </c>
      <c r="P146" s="329">
        <v>2870000</v>
      </c>
      <c r="Q146" s="329">
        <v>21</v>
      </c>
      <c r="R146" s="328" t="s">
        <v>131</v>
      </c>
      <c r="S146" s="330" t="s">
        <v>148</v>
      </c>
      <c r="T146" s="328" t="s">
        <v>133</v>
      </c>
      <c r="U146" s="22">
        <v>132</v>
      </c>
      <c r="V146" s="22">
        <v>304470</v>
      </c>
      <c r="W146" s="22"/>
      <c r="X146" s="22"/>
      <c r="Y146" s="54"/>
      <c r="Z146" s="54"/>
      <c r="AA146" s="54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</row>
    <row r="147" spans="1:95" ht="15.75" customHeight="1" thickBot="1" x14ac:dyDescent="0.3">
      <c r="A147" s="325" t="s">
        <v>837</v>
      </c>
      <c r="B147" s="281" t="s">
        <v>181</v>
      </c>
      <c r="C147" s="326">
        <v>0</v>
      </c>
      <c r="D147" s="281" t="s">
        <v>862</v>
      </c>
      <c r="E147" s="282"/>
      <c r="F147" s="283">
        <v>1.1000000000000001E-3</v>
      </c>
      <c r="G147" s="284">
        <v>44383</v>
      </c>
      <c r="H147" s="351">
        <v>5.9999999999999995E-4</v>
      </c>
      <c r="I147" s="318">
        <v>1.2999999999999999E-3</v>
      </c>
      <c r="J147" s="319">
        <v>44398</v>
      </c>
      <c r="K147" s="286">
        <f t="shared" si="8"/>
        <v>-0.45454545454545459</v>
      </c>
      <c r="L147" s="286">
        <f t="shared" si="9"/>
        <v>0.18181818181818166</v>
      </c>
      <c r="M147" s="353">
        <v>44435</v>
      </c>
      <c r="N147" s="328"/>
      <c r="O147" s="329">
        <v>4937409898</v>
      </c>
      <c r="P147" s="329"/>
      <c r="Q147" s="329">
        <v>15</v>
      </c>
      <c r="R147" s="328"/>
      <c r="S147" s="330" t="s">
        <v>148</v>
      </c>
      <c r="T147" s="328"/>
      <c r="U147" s="22">
        <v>128</v>
      </c>
      <c r="V147" s="22">
        <v>21405528</v>
      </c>
      <c r="W147" s="22"/>
      <c r="X147" s="22"/>
      <c r="Y147" s="54"/>
      <c r="Z147" s="54"/>
      <c r="AA147" s="54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</row>
    <row r="148" spans="1:95" ht="15.75" customHeight="1" thickBot="1" x14ac:dyDescent="0.3">
      <c r="A148" s="325"/>
      <c r="B148" s="36" t="s">
        <v>128</v>
      </c>
      <c r="C148" s="326">
        <v>0</v>
      </c>
      <c r="D148" s="300" t="s">
        <v>174</v>
      </c>
      <c r="E148" s="330"/>
      <c r="F148" s="283">
        <v>3.02</v>
      </c>
      <c r="G148" s="284">
        <v>44383</v>
      </c>
      <c r="H148" s="351">
        <v>2.73</v>
      </c>
      <c r="I148" s="318">
        <v>3.29</v>
      </c>
      <c r="J148" s="319">
        <v>44384</v>
      </c>
      <c r="K148" s="286">
        <f t="shared" si="8"/>
        <v>-9.6026490066225212E-2</v>
      </c>
      <c r="L148" s="286">
        <f t="shared" si="9"/>
        <v>8.9403973509933676E-2</v>
      </c>
      <c r="M148" s="353">
        <v>44435</v>
      </c>
      <c r="N148" s="328"/>
      <c r="O148" s="329">
        <v>17591773</v>
      </c>
      <c r="P148" s="329">
        <v>11690000</v>
      </c>
      <c r="Q148" s="329">
        <v>1</v>
      </c>
      <c r="R148" s="328" t="s">
        <v>131</v>
      </c>
      <c r="S148" s="330" t="s">
        <v>135</v>
      </c>
      <c r="T148" s="328" t="s">
        <v>133</v>
      </c>
      <c r="U148" s="22">
        <v>104</v>
      </c>
      <c r="V148" s="22">
        <v>2839531</v>
      </c>
      <c r="W148" s="22"/>
      <c r="X148" s="22"/>
      <c r="Y148" s="54"/>
      <c r="Z148" s="54"/>
      <c r="AA148" s="54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</row>
    <row r="149" spans="1:95" ht="15.75" customHeight="1" thickBot="1" x14ac:dyDescent="0.3">
      <c r="A149" s="325" t="s">
        <v>855</v>
      </c>
      <c r="B149" s="281" t="s">
        <v>181</v>
      </c>
      <c r="C149" s="326">
        <v>0</v>
      </c>
      <c r="D149" s="281" t="s">
        <v>863</v>
      </c>
      <c r="E149" s="330"/>
      <c r="F149" s="283">
        <v>6.9999999999999999E-4</v>
      </c>
      <c r="G149" s="284">
        <v>44383</v>
      </c>
      <c r="H149" s="351">
        <v>5.0000000000000001E-4</v>
      </c>
      <c r="I149" s="285">
        <v>6.9999999999999999E-4</v>
      </c>
      <c r="J149" s="319">
        <v>44383</v>
      </c>
      <c r="K149" s="286">
        <f t="shared" si="8"/>
        <v>-0.2857142857142857</v>
      </c>
      <c r="L149" s="286">
        <f t="shared" si="9"/>
        <v>0</v>
      </c>
      <c r="M149" s="353">
        <v>44435</v>
      </c>
      <c r="N149" s="328"/>
      <c r="O149" s="329">
        <v>8471034676</v>
      </c>
      <c r="P149" s="329"/>
      <c r="Q149" s="329"/>
      <c r="R149" s="328"/>
      <c r="S149" s="330" t="s">
        <v>157</v>
      </c>
      <c r="T149" s="328"/>
      <c r="U149" s="22">
        <v>388</v>
      </c>
      <c r="V149" s="22">
        <v>116005816</v>
      </c>
      <c r="W149" s="22"/>
      <c r="X149" s="22"/>
      <c r="Y149" s="54"/>
      <c r="Z149" s="54"/>
      <c r="AA149" s="54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</row>
    <row r="150" spans="1:95" ht="15.75" customHeight="1" thickBot="1" x14ac:dyDescent="0.3">
      <c r="A150" s="325"/>
      <c r="B150" s="36" t="s">
        <v>128</v>
      </c>
      <c r="C150" s="326">
        <v>0</v>
      </c>
      <c r="D150" s="333" t="s">
        <v>229</v>
      </c>
      <c r="E150" s="335" t="s">
        <v>228</v>
      </c>
      <c r="F150" s="283">
        <v>3.84</v>
      </c>
      <c r="G150" s="284">
        <v>44383</v>
      </c>
      <c r="H150" s="351">
        <v>3.47</v>
      </c>
      <c r="I150" s="318">
        <v>4.6900000000000004</v>
      </c>
      <c r="J150" s="319">
        <v>44406</v>
      </c>
      <c r="K150" s="286">
        <f t="shared" si="8"/>
        <v>-9.635416666666663E-2</v>
      </c>
      <c r="L150" s="286">
        <f t="shared" si="9"/>
        <v>0.22135416666666674</v>
      </c>
      <c r="M150" s="353">
        <v>44435</v>
      </c>
      <c r="N150" s="328"/>
      <c r="O150" s="329">
        <v>10493598</v>
      </c>
      <c r="P150" s="329">
        <v>9600000</v>
      </c>
      <c r="Q150" s="329">
        <v>23</v>
      </c>
      <c r="R150" s="328" t="s">
        <v>131</v>
      </c>
      <c r="S150" s="330" t="s">
        <v>148</v>
      </c>
      <c r="T150" s="328" t="s">
        <v>136</v>
      </c>
      <c r="U150" s="22">
        <v>108</v>
      </c>
      <c r="V150" s="22">
        <v>55084</v>
      </c>
      <c r="W150" s="22"/>
      <c r="X150" s="22"/>
      <c r="Y150" s="54"/>
      <c r="Z150" s="54"/>
      <c r="AA150" s="54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</row>
    <row r="151" spans="1:95" ht="15.75" customHeight="1" thickBot="1" x14ac:dyDescent="0.3">
      <c r="A151" s="325" t="s">
        <v>753</v>
      </c>
      <c r="B151" s="36" t="s">
        <v>128</v>
      </c>
      <c r="C151" s="326">
        <v>0</v>
      </c>
      <c r="D151" s="281" t="s">
        <v>864</v>
      </c>
      <c r="E151" s="330"/>
      <c r="F151" s="283">
        <v>7.61</v>
      </c>
      <c r="G151" s="284">
        <v>44379</v>
      </c>
      <c r="H151" s="351">
        <v>2.68</v>
      </c>
      <c r="I151" s="318">
        <v>7.8932000000000002</v>
      </c>
      <c r="J151" s="319">
        <v>44391</v>
      </c>
      <c r="K151" s="286">
        <f t="shared" si="8"/>
        <v>-0.64783180026281206</v>
      </c>
      <c r="L151" s="286">
        <f t="shared" si="9"/>
        <v>3.7214191852825262E-2</v>
      </c>
      <c r="M151" s="353">
        <v>44435</v>
      </c>
      <c r="N151" s="328"/>
      <c r="O151" s="329">
        <v>12858501</v>
      </c>
      <c r="P151" s="329">
        <v>3690000</v>
      </c>
      <c r="Q151" s="329">
        <v>12</v>
      </c>
      <c r="R151" s="328" t="s">
        <v>152</v>
      </c>
      <c r="S151" s="330" t="s">
        <v>132</v>
      </c>
      <c r="T151" s="328" t="s">
        <v>214</v>
      </c>
      <c r="U151" s="22">
        <v>1084</v>
      </c>
      <c r="V151" s="22">
        <v>69730</v>
      </c>
      <c r="W151" s="22"/>
      <c r="X151" s="22"/>
      <c r="Y151" s="54"/>
      <c r="Z151" s="54"/>
      <c r="AA151" s="54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</row>
    <row r="152" spans="1:95" ht="15.75" customHeight="1" thickBot="1" x14ac:dyDescent="0.3">
      <c r="A152" s="325" t="s">
        <v>753</v>
      </c>
      <c r="B152" s="36" t="s">
        <v>128</v>
      </c>
      <c r="C152" s="326">
        <v>0</v>
      </c>
      <c r="D152" s="281" t="s">
        <v>865</v>
      </c>
      <c r="E152" s="282"/>
      <c r="F152" s="283">
        <v>8.0500000000000007</v>
      </c>
      <c r="G152" s="284">
        <v>44379</v>
      </c>
      <c r="H152" s="351">
        <v>10.79</v>
      </c>
      <c r="I152" s="351">
        <v>10.97</v>
      </c>
      <c r="J152" s="352">
        <v>44435</v>
      </c>
      <c r="K152" s="286">
        <f t="shared" si="8"/>
        <v>0.34037267080745326</v>
      </c>
      <c r="L152" s="286">
        <f t="shared" si="9"/>
        <v>0.36273291925465845</v>
      </c>
      <c r="M152" s="353">
        <v>44435</v>
      </c>
      <c r="N152" s="328"/>
      <c r="O152" s="329">
        <v>42739065</v>
      </c>
      <c r="P152" s="329">
        <v>39190000</v>
      </c>
      <c r="Q152" s="329">
        <v>56</v>
      </c>
      <c r="R152" s="328" t="s">
        <v>131</v>
      </c>
      <c r="S152" s="330" t="s">
        <v>148</v>
      </c>
      <c r="T152" s="328" t="s">
        <v>154</v>
      </c>
      <c r="U152" s="22">
        <v>2004</v>
      </c>
      <c r="V152" s="22">
        <v>6941967</v>
      </c>
      <c r="W152" s="22"/>
      <c r="X152" s="22"/>
      <c r="Y152" s="54"/>
      <c r="Z152" s="54"/>
      <c r="AA152" s="54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</row>
    <row r="153" spans="1:95" ht="15.75" customHeight="1" thickBot="1" x14ac:dyDescent="0.3">
      <c r="A153" s="325" t="s">
        <v>753</v>
      </c>
      <c r="B153" s="36" t="s">
        <v>128</v>
      </c>
      <c r="C153" s="326">
        <v>0</v>
      </c>
      <c r="D153" s="296" t="s">
        <v>231</v>
      </c>
      <c r="E153" s="335" t="s">
        <v>230</v>
      </c>
      <c r="F153" s="283">
        <v>2.4700000000000002</v>
      </c>
      <c r="G153" s="284">
        <v>44379</v>
      </c>
      <c r="H153" s="351">
        <v>2.65</v>
      </c>
      <c r="I153" s="351">
        <v>2.83</v>
      </c>
      <c r="J153" s="352">
        <v>44435</v>
      </c>
      <c r="K153" s="286">
        <f t="shared" si="8"/>
        <v>7.2874493927125306E-2</v>
      </c>
      <c r="L153" s="286">
        <f t="shared" si="9"/>
        <v>0.14574898785425106</v>
      </c>
      <c r="M153" s="353">
        <v>44435</v>
      </c>
      <c r="N153" s="328"/>
      <c r="O153" s="329">
        <v>67550974</v>
      </c>
      <c r="P153" s="329">
        <v>19330000</v>
      </c>
      <c r="Q153" s="329">
        <v>56</v>
      </c>
      <c r="R153" s="328" t="s">
        <v>152</v>
      </c>
      <c r="S153" s="330" t="s">
        <v>135</v>
      </c>
      <c r="T153" s="328" t="s">
        <v>232</v>
      </c>
      <c r="U153" s="22">
        <v>136</v>
      </c>
      <c r="V153" s="22">
        <v>102948</v>
      </c>
      <c r="W153" s="22"/>
      <c r="X153" s="22"/>
      <c r="Y153" s="54"/>
      <c r="Z153" s="54"/>
      <c r="AA153" s="54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</row>
    <row r="154" spans="1:95" ht="15.75" customHeight="1" thickBot="1" x14ac:dyDescent="0.3">
      <c r="A154" s="57" t="s">
        <v>745</v>
      </c>
      <c r="B154" s="36" t="s">
        <v>128</v>
      </c>
      <c r="C154" s="326">
        <v>0</v>
      </c>
      <c r="D154" s="281" t="s">
        <v>866</v>
      </c>
      <c r="E154" s="282"/>
      <c r="F154" s="283">
        <v>5.2</v>
      </c>
      <c r="G154" s="284">
        <v>44379</v>
      </c>
      <c r="H154" s="351">
        <v>3.68</v>
      </c>
      <c r="I154" s="318">
        <v>5.48</v>
      </c>
      <c r="J154" s="319">
        <v>44383</v>
      </c>
      <c r="K154" s="286">
        <f t="shared" si="8"/>
        <v>-0.29230769230769227</v>
      </c>
      <c r="L154" s="286">
        <f t="shared" si="9"/>
        <v>5.3846153846153877E-2</v>
      </c>
      <c r="M154" s="353">
        <v>44435</v>
      </c>
      <c r="N154" s="328"/>
      <c r="O154" s="329">
        <v>57062333</v>
      </c>
      <c r="P154" s="329">
        <v>33080000</v>
      </c>
      <c r="Q154" s="329">
        <v>4</v>
      </c>
      <c r="R154" s="328" t="s">
        <v>147</v>
      </c>
      <c r="S154" s="330" t="s">
        <v>148</v>
      </c>
      <c r="T154" s="328" t="s">
        <v>271</v>
      </c>
      <c r="U154" s="22">
        <v>68</v>
      </c>
      <c r="V154" s="22">
        <v>114659</v>
      </c>
      <c r="W154" s="22"/>
      <c r="X154" s="22"/>
      <c r="Y154" s="54"/>
      <c r="Z154" s="54"/>
      <c r="AA154" s="54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</row>
    <row r="155" spans="1:95" ht="15.75" customHeight="1" thickBot="1" x14ac:dyDescent="0.3">
      <c r="A155" s="325" t="s">
        <v>847</v>
      </c>
      <c r="B155" s="36" t="s">
        <v>128</v>
      </c>
      <c r="C155" s="326">
        <v>0</v>
      </c>
      <c r="D155" s="281" t="s">
        <v>812</v>
      </c>
      <c r="E155" s="282"/>
      <c r="F155" s="283">
        <v>15.99</v>
      </c>
      <c r="G155" s="284">
        <v>44379</v>
      </c>
      <c r="H155" s="351">
        <v>14.71</v>
      </c>
      <c r="I155" s="351">
        <v>16.38</v>
      </c>
      <c r="J155" s="352">
        <v>44417</v>
      </c>
      <c r="K155" s="286">
        <f t="shared" si="8"/>
        <v>-8.0050031269543465E-2</v>
      </c>
      <c r="L155" s="286">
        <f t="shared" si="9"/>
        <v>2.4390243902439046E-2</v>
      </c>
      <c r="M155" s="353">
        <v>44435</v>
      </c>
      <c r="N155" s="328"/>
      <c r="O155" s="329">
        <v>157951717</v>
      </c>
      <c r="P155" s="329">
        <v>156900000</v>
      </c>
      <c r="Q155" s="329">
        <v>38</v>
      </c>
      <c r="R155" s="328" t="s">
        <v>131</v>
      </c>
      <c r="S155" s="330" t="s">
        <v>148</v>
      </c>
      <c r="T155" s="328" t="s">
        <v>599</v>
      </c>
      <c r="U155" s="22">
        <v>2004</v>
      </c>
      <c r="V155" s="22">
        <v>4842938</v>
      </c>
      <c r="W155" s="22"/>
      <c r="X155" s="22"/>
      <c r="Y155" s="54"/>
      <c r="Z155" s="54"/>
      <c r="AA155" s="54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</row>
    <row r="156" spans="1:95" ht="15.75" customHeight="1" thickBot="1" x14ac:dyDescent="0.3">
      <c r="A156" s="57" t="s">
        <v>745</v>
      </c>
      <c r="B156" s="36" t="s">
        <v>128</v>
      </c>
      <c r="C156" s="326">
        <v>0</v>
      </c>
      <c r="D156" s="300" t="s">
        <v>357</v>
      </c>
      <c r="E156" s="60" t="s">
        <v>867</v>
      </c>
      <c r="F156" s="283">
        <v>4.8</v>
      </c>
      <c r="G156" s="284">
        <v>44379</v>
      </c>
      <c r="H156" s="351">
        <v>4.5350000000000001</v>
      </c>
      <c r="I156" s="318">
        <v>6.82</v>
      </c>
      <c r="J156" s="319">
        <v>44398</v>
      </c>
      <c r="K156" s="286">
        <f t="shared" si="8"/>
        <v>-5.5208333333333304E-2</v>
      </c>
      <c r="L156" s="286">
        <f t="shared" si="9"/>
        <v>0.42083333333333339</v>
      </c>
      <c r="M156" s="353">
        <v>44435</v>
      </c>
      <c r="N156" s="328"/>
      <c r="O156" s="329">
        <v>7906476</v>
      </c>
      <c r="P156" s="329">
        <v>5600000</v>
      </c>
      <c r="Q156" s="329">
        <v>19</v>
      </c>
      <c r="R156" s="328" t="s">
        <v>147</v>
      </c>
      <c r="S156" s="330" t="s">
        <v>148</v>
      </c>
      <c r="T156" s="328" t="s">
        <v>242</v>
      </c>
      <c r="U156" s="22">
        <v>180</v>
      </c>
      <c r="V156" s="22">
        <v>114165</v>
      </c>
      <c r="W156" s="22"/>
      <c r="X156" s="22"/>
      <c r="Y156" s="54"/>
      <c r="Z156" s="54"/>
      <c r="AA156" s="54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</row>
    <row r="157" spans="1:95" ht="15.75" customHeight="1" thickBot="1" x14ac:dyDescent="0.3">
      <c r="A157" s="57" t="s">
        <v>745</v>
      </c>
      <c r="B157" s="36" t="s">
        <v>128</v>
      </c>
      <c r="C157" s="326">
        <v>0</v>
      </c>
      <c r="D157" s="300" t="s">
        <v>790</v>
      </c>
      <c r="E157" s="282"/>
      <c r="F157" s="283">
        <v>5.36</v>
      </c>
      <c r="G157" s="284">
        <v>44379</v>
      </c>
      <c r="H157" s="351">
        <v>6.25</v>
      </c>
      <c r="I157" s="318">
        <v>14.85</v>
      </c>
      <c r="J157" s="319">
        <v>44390</v>
      </c>
      <c r="K157" s="286">
        <f t="shared" si="8"/>
        <v>0.16604477611940283</v>
      </c>
      <c r="L157" s="286">
        <f t="shared" si="9"/>
        <v>1.7705223880597014</v>
      </c>
      <c r="M157" s="353">
        <v>44435</v>
      </c>
      <c r="N157" s="328"/>
      <c r="O157" s="329">
        <v>3301476</v>
      </c>
      <c r="P157" s="329"/>
      <c r="Q157" s="329">
        <v>11</v>
      </c>
      <c r="R157" s="328" t="s">
        <v>131</v>
      </c>
      <c r="S157" s="330" t="s">
        <v>148</v>
      </c>
      <c r="T157" s="328" t="s">
        <v>163</v>
      </c>
      <c r="U157" s="22">
        <v>340</v>
      </c>
      <c r="V157" s="22">
        <v>406722</v>
      </c>
      <c r="W157" s="22"/>
      <c r="X157" s="22"/>
      <c r="Y157" s="54"/>
      <c r="Z157" s="54"/>
      <c r="AA157" s="54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</row>
    <row r="158" spans="1:95" ht="15.75" customHeight="1" thickBot="1" x14ac:dyDescent="0.3">
      <c r="A158" s="57" t="s">
        <v>745</v>
      </c>
      <c r="B158" s="36" t="s">
        <v>128</v>
      </c>
      <c r="C158" s="326">
        <v>0</v>
      </c>
      <c r="D158" s="281" t="s">
        <v>868</v>
      </c>
      <c r="E158" s="282"/>
      <c r="F158" s="283">
        <v>2.9</v>
      </c>
      <c r="G158" s="284">
        <v>44379</v>
      </c>
      <c r="H158" s="351">
        <v>2.92</v>
      </c>
      <c r="I158" s="318">
        <v>7.84</v>
      </c>
      <c r="J158" s="319">
        <v>44399</v>
      </c>
      <c r="K158" s="286">
        <f t="shared" si="8"/>
        <v>6.8965517241379448E-3</v>
      </c>
      <c r="L158" s="286">
        <f t="shared" si="9"/>
        <v>1.703448275862069</v>
      </c>
      <c r="M158" s="353">
        <v>44435</v>
      </c>
      <c r="N158" s="328"/>
      <c r="O158" s="329">
        <v>10062383</v>
      </c>
      <c r="P158" s="329">
        <v>7740000</v>
      </c>
      <c r="Q158" s="329">
        <v>20</v>
      </c>
      <c r="R158" s="328" t="s">
        <v>147</v>
      </c>
      <c r="S158" s="330" t="s">
        <v>148</v>
      </c>
      <c r="T158" s="328" t="s">
        <v>271</v>
      </c>
      <c r="U158" s="22">
        <v>24</v>
      </c>
      <c r="V158" s="22">
        <v>40693</v>
      </c>
      <c r="W158" s="22"/>
      <c r="X158" s="22"/>
      <c r="Y158" s="54"/>
      <c r="Z158" s="54"/>
      <c r="AA158" s="54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</row>
    <row r="159" spans="1:95" ht="15.75" customHeight="1" thickBot="1" x14ac:dyDescent="0.3">
      <c r="A159" s="57" t="s">
        <v>745</v>
      </c>
      <c r="B159" s="36" t="s">
        <v>128</v>
      </c>
      <c r="C159" s="326">
        <v>0</v>
      </c>
      <c r="D159" s="281" t="s">
        <v>869</v>
      </c>
      <c r="E159" s="335" t="s">
        <v>870</v>
      </c>
      <c r="F159" s="283">
        <v>9.7200000000000006</v>
      </c>
      <c r="G159" s="284">
        <v>44379</v>
      </c>
      <c r="H159" s="351">
        <v>16.510000000000002</v>
      </c>
      <c r="I159" s="351">
        <v>17.3</v>
      </c>
      <c r="J159" s="352">
        <v>44435</v>
      </c>
      <c r="K159" s="286">
        <f t="shared" si="8"/>
        <v>0.69855967078189307</v>
      </c>
      <c r="L159" s="286">
        <f t="shared" si="9"/>
        <v>0.77983539094650212</v>
      </c>
      <c r="M159" s="353">
        <v>44435</v>
      </c>
      <c r="N159" s="328"/>
      <c r="O159" s="329">
        <v>10868137</v>
      </c>
      <c r="P159" s="329">
        <v>7470000</v>
      </c>
      <c r="Q159" s="329">
        <v>56</v>
      </c>
      <c r="R159" s="328" t="s">
        <v>131</v>
      </c>
      <c r="S159" s="330"/>
      <c r="T159" s="328" t="s">
        <v>871</v>
      </c>
      <c r="U159" s="22">
        <v>200</v>
      </c>
      <c r="V159" s="22">
        <v>122044</v>
      </c>
      <c r="W159" s="22"/>
      <c r="X159" s="22"/>
      <c r="Y159" s="54"/>
      <c r="Z159" s="54"/>
      <c r="AA159" s="54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</row>
    <row r="160" spans="1:95" ht="15.75" customHeight="1" thickBot="1" x14ac:dyDescent="0.3">
      <c r="A160" s="57" t="s">
        <v>745</v>
      </c>
      <c r="B160" s="36" t="s">
        <v>128</v>
      </c>
      <c r="C160" s="326">
        <v>0</v>
      </c>
      <c r="D160" s="281" t="s">
        <v>796</v>
      </c>
      <c r="E160" s="282"/>
      <c r="F160" s="283">
        <v>3.7</v>
      </c>
      <c r="G160" s="284">
        <v>44379</v>
      </c>
      <c r="H160" s="351">
        <v>2.7</v>
      </c>
      <c r="I160" s="318">
        <v>3.84</v>
      </c>
      <c r="J160" s="319">
        <v>44383</v>
      </c>
      <c r="K160" s="286">
        <f t="shared" si="8"/>
        <v>-0.27027027027027029</v>
      </c>
      <c r="L160" s="286">
        <f t="shared" si="9"/>
        <v>3.7837837837837673E-2</v>
      </c>
      <c r="M160" s="353">
        <v>44435</v>
      </c>
      <c r="N160" s="328"/>
      <c r="O160" s="329">
        <v>28985814</v>
      </c>
      <c r="P160" s="329">
        <v>26490000</v>
      </c>
      <c r="Q160" s="329">
        <v>4</v>
      </c>
      <c r="R160" s="328" t="s">
        <v>131</v>
      </c>
      <c r="S160" s="330" t="s">
        <v>153</v>
      </c>
      <c r="T160" s="328" t="s">
        <v>154</v>
      </c>
      <c r="U160" s="22">
        <v>96</v>
      </c>
      <c r="V160" s="22">
        <v>145395</v>
      </c>
      <c r="W160" s="22"/>
      <c r="X160" s="22"/>
      <c r="Y160" s="54"/>
      <c r="Z160" s="54"/>
      <c r="AA160" s="54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</row>
    <row r="161" spans="1:95" ht="15.75" customHeight="1" thickBot="1" x14ac:dyDescent="0.3">
      <c r="A161" s="57" t="s">
        <v>745</v>
      </c>
      <c r="B161" s="36" t="s">
        <v>128</v>
      </c>
      <c r="C161" s="326">
        <v>0</v>
      </c>
      <c r="D161" s="296" t="s">
        <v>237</v>
      </c>
      <c r="E161" s="335" t="s">
        <v>236</v>
      </c>
      <c r="F161" s="283">
        <v>2.31</v>
      </c>
      <c r="G161" s="284">
        <v>44378</v>
      </c>
      <c r="H161" s="318">
        <v>2.0699999999999998</v>
      </c>
      <c r="I161" s="318">
        <v>2.42</v>
      </c>
      <c r="J161" s="319">
        <v>44383</v>
      </c>
      <c r="K161" s="286">
        <f t="shared" si="8"/>
        <v>-0.10389610389610393</v>
      </c>
      <c r="L161" s="286">
        <f t="shared" si="9"/>
        <v>4.7619047619047672E-2</v>
      </c>
      <c r="M161" s="327">
        <v>44407</v>
      </c>
      <c r="N161" s="328"/>
      <c r="O161" s="329">
        <v>71531070</v>
      </c>
      <c r="P161" s="329">
        <v>40060000</v>
      </c>
      <c r="Q161" s="329">
        <v>5</v>
      </c>
      <c r="R161" s="328" t="s">
        <v>131</v>
      </c>
      <c r="S161" s="330" t="s">
        <v>148</v>
      </c>
      <c r="T161" s="328" t="s">
        <v>238</v>
      </c>
      <c r="U161" s="22">
        <v>120</v>
      </c>
      <c r="V161" s="22">
        <v>920319</v>
      </c>
      <c r="W161" s="22"/>
      <c r="X161" s="22"/>
      <c r="Y161" s="54"/>
      <c r="Z161" s="54"/>
      <c r="AA161" s="54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</row>
    <row r="162" spans="1:95" ht="15.75" customHeight="1" thickBot="1" x14ac:dyDescent="0.3">
      <c r="A162" s="57" t="s">
        <v>745</v>
      </c>
      <c r="B162" s="36" t="s">
        <v>128</v>
      </c>
      <c r="C162" s="53">
        <v>2</v>
      </c>
      <c r="D162" s="298" t="s">
        <v>499</v>
      </c>
      <c r="E162" s="15"/>
      <c r="F162" s="24">
        <v>2.35</v>
      </c>
      <c r="G162" s="25">
        <v>44377</v>
      </c>
      <c r="H162" s="320">
        <v>1.73</v>
      </c>
      <c r="I162" s="320">
        <v>2.75</v>
      </c>
      <c r="J162" s="321">
        <v>44389</v>
      </c>
      <c r="K162" s="26">
        <f t="shared" si="8"/>
        <v>-0.2638297872340426</v>
      </c>
      <c r="L162" s="26">
        <f t="shared" si="9"/>
        <v>0.17021276595744683</v>
      </c>
      <c r="M162" s="322">
        <v>44407</v>
      </c>
      <c r="N162" s="54"/>
      <c r="O162" s="55">
        <v>20869463</v>
      </c>
      <c r="P162" s="55">
        <v>2350000</v>
      </c>
      <c r="Q162" s="55">
        <v>12</v>
      </c>
      <c r="R162" s="54" t="s">
        <v>152</v>
      </c>
      <c r="S162" s="55" t="s">
        <v>132</v>
      </c>
      <c r="T162" s="54" t="s">
        <v>214</v>
      </c>
      <c r="U162" s="54">
        <v>84</v>
      </c>
      <c r="V162" s="54">
        <v>178025</v>
      </c>
      <c r="W162" s="54"/>
      <c r="X162" s="54">
        <v>2.4049999999999998</v>
      </c>
      <c r="Y162" s="54">
        <v>2.4988779999999982</v>
      </c>
      <c r="Z162" s="54">
        <v>2.3861560000000002</v>
      </c>
      <c r="AA162" s="54">
        <v>2.3014999999999999</v>
      </c>
      <c r="AB162" s="54">
        <v>2.2521999999999989</v>
      </c>
      <c r="AC162" s="54">
        <v>2.3162500000000001</v>
      </c>
      <c r="AD162" s="54">
        <v>2.328928571428571</v>
      </c>
      <c r="AE162" s="54">
        <v>2.3231250000000001</v>
      </c>
      <c r="AF162" s="54">
        <f>IF($Z$3="yes", -0.00317153993849836/$X162, -0.00317153993849836)</f>
        <v>-1.3187276251552433E-3</v>
      </c>
      <c r="AG162" s="54">
        <f>IF($Z$3="yes", -0.00501332613261315/$X162, -0.00501332613261315)</f>
        <v>-2.0845430904836383E-3</v>
      </c>
      <c r="AH162" s="54">
        <f>IF($Z$3="yes", 0.00104081632653055/$X162, 0.00104081632653055)</f>
        <v>4.3277186134326406E-4</v>
      </c>
      <c r="AI162" s="54">
        <f>IF($Z$3="yes", 0.00506074429771908/$X162, 0.00506074429771908)</f>
        <v>2.1042595832511768E-3</v>
      </c>
      <c r="AJ162" s="54">
        <f>IF($Z$3="yes", 0.0032744360902255/$X162, 0.0032744360902255)</f>
        <v>1.361511887827651E-3</v>
      </c>
      <c r="AK162" s="54">
        <f>IF($Z$3="yes", -0.000164835164835478/$X162, -0.000164835164835478)</f>
        <v>-6.8538530077121831E-5</v>
      </c>
      <c r="AL162" s="54">
        <f>IF($Z$3="yes", 0.0158928571428562/$X162, 0.0158928571428562)</f>
        <v>6.6082566082562161E-3</v>
      </c>
      <c r="AM162" s="54">
        <f>IF($Z$3="yes", 0.112721999999997/$X162, 0.112721999999997)</f>
        <v>4.6869854469853228E-2</v>
      </c>
      <c r="AN162" s="54">
        <f>IF($Z$3="yes", 0.197377999999997/$X162, 0.197377999999997)</f>
        <v>8.2069854469853223E-2</v>
      </c>
      <c r="AO162" s="54">
        <f>IF($Z$3="yes", 0.246677999999998/$X162, 0.246677999999998)</f>
        <v>0.10256881496881415</v>
      </c>
      <c r="AP162" s="54">
        <f>IF($Z$3="yes", 0.182627999999997/$X162, 0.182627999999997)</f>
        <v>7.593679833679709E-2</v>
      </c>
      <c r="AQ162" s="54">
        <f>IF($Z$3="yes", 0.169949428571426/$X162, 0.169949428571426)</f>
        <v>7.0665043065041996E-2</v>
      </c>
      <c r="AR162" s="54">
        <f>IF($Z$3="yes", 0.175752999999998/$X162, 0.175752999999998)</f>
        <v>7.3078170478169655E-2</v>
      </c>
      <c r="AS162" s="54">
        <f>IF($Z$3="yes", 0.0846559999999998/$X162, 0.0846559999999998)</f>
        <v>3.5199999999999919E-2</v>
      </c>
      <c r="AT162" s="54">
        <f>IF($Z$3="yes", 0.133956/$X162, 0.133956)</f>
        <v>5.5698960498960497E-2</v>
      </c>
      <c r="AU162" s="56">
        <f>IF($Z$3="yes", 0.069906/$X162, 0.069906)</f>
        <v>2.9066943866943869E-2</v>
      </c>
      <c r="AV162" s="56">
        <f>IF($Z$3="yes", 0.0572274285714287/$X162, 0.0572274285714287)</f>
        <v>2.379518859518865E-2</v>
      </c>
      <c r="AW162" s="56">
        <f>IF($Z$3="yes", 0.0630310000000005/$X162, 0.0630310000000005)</f>
        <v>2.6208316008316218E-2</v>
      </c>
      <c r="AX162" s="56">
        <f>IF($Z$3="yes", 0.049300000000001/$X162, 0.049300000000001)</f>
        <v>2.0498960498960918E-2</v>
      </c>
      <c r="AY162" s="56">
        <f>IF($Z$3="yes", 0.0640500000000008/$X162, 0.0640500000000008)</f>
        <v>2.6632016632016968E-2</v>
      </c>
      <c r="AZ162" s="56">
        <f>IF($Z$3="yes", 0.0767285714285721/$X162, 0.0767285714285721)</f>
        <v>3.1903771903772186E-2</v>
      </c>
      <c r="BA162" s="56">
        <f>IF($Z$3="yes", 0.0709250000000003/$X162, 0.0709250000000003)</f>
        <v>2.9490644490644615E-2</v>
      </c>
      <c r="BB162" s="56">
        <f>IF($Z$3="yes", 0.0147499999999998/$X162, 0.0147499999999998)</f>
        <v>6.1330561330560501E-3</v>
      </c>
      <c r="BC162" s="56">
        <f>IF($Z$3="yes", 0.0274285714285711/$X162, 0.0274285714285711)</f>
        <v>1.140481140481127E-2</v>
      </c>
      <c r="BD162" s="56">
        <f>IF($Z$3="yes", 0.0216249999999993/$X162, 0.0216249999999993)</f>
        <v>8.9916839916837025E-3</v>
      </c>
      <c r="BE162" s="56">
        <f>IF($Z$3="yes", 0.0126785714285713/$X162, 0.0126785714285713)</f>
        <v>5.2717552717552185E-3</v>
      </c>
      <c r="BF162" s="56">
        <f>IF($Z$3="yes", 0.00687499999999952/$X162, 0.00687499999999952)</f>
        <v>2.8586278586276593E-3</v>
      </c>
      <c r="BG162" s="56">
        <f>IF($Z$3="yes", 0.00580357142857179/$X162, 0.00580357142857179)</f>
        <v>2.4131274131275636E-3</v>
      </c>
      <c r="BH162" s="56">
        <f>IF($Z$3="yes", 0.294571557823128/$X162, 0.294571557823128)</f>
        <v>0.12248297622583286</v>
      </c>
      <c r="BK162">
        <f>IF($BL$3="yes", MAX(0, (178025 - 188613.6) / 101170.94856845), 188613.6)</f>
        <v>188613.6</v>
      </c>
      <c r="BL162">
        <f>IF($BL$3="yes", MAX(0, (178025 - 137547.9) / 91425.8050677706), 137547.9)</f>
        <v>137547.9</v>
      </c>
      <c r="BM162">
        <f>IF($BL$3="yes", MAX(0, (178025 - 336443.8) / 463732.619861876), 336443.8)</f>
        <v>336443.8</v>
      </c>
      <c r="BN162">
        <f>IF($BL$3="yes", MAX(0, (178025 - 441896.66) / 445044.983703922), 441896.66)</f>
        <v>441896.66</v>
      </c>
      <c r="BO162">
        <f>IF($BL$3="yes", MAX(0, (178025 - 2404530.2) / 17772899.0465246), 2404530.2)</f>
        <v>2404530.2000000002</v>
      </c>
      <c r="BP162">
        <f>IF($BL$3="yes", MAX(0, (178025 - 1656453.42) / 12792926.2998567), 1656453.42)</f>
        <v>1656453.42</v>
      </c>
      <c r="BQ162">
        <v>58.740537049729348</v>
      </c>
      <c r="BT162">
        <v>-609909.26310708933</v>
      </c>
      <c r="BU162">
        <v>-73749.550844419864</v>
      </c>
      <c r="BV162">
        <f>IF($Z$3="yes", 0.135348319795893/$X162, 0.135348319795893)</f>
        <v>5.6277887649019968E-2</v>
      </c>
      <c r="BW162">
        <f>IF($Z$3="yes", 0.234577989554083/$X162, 0.234577989554083)</f>
        <v>9.7537625594213306E-2</v>
      </c>
      <c r="BX162">
        <f>$BW$162 - $BV$162</f>
        <v>4.1259737945193338E-2</v>
      </c>
    </row>
    <row r="163" spans="1:95" ht="15.75" customHeight="1" thickBot="1" x14ac:dyDescent="0.3">
      <c r="A163" s="325" t="s">
        <v>855</v>
      </c>
      <c r="B163" s="23" t="s">
        <v>181</v>
      </c>
      <c r="C163" s="326">
        <v>0</v>
      </c>
      <c r="D163" s="23" t="s">
        <v>872</v>
      </c>
      <c r="E163" s="15"/>
      <c r="F163" s="24">
        <v>2.7000000000000001E-3</v>
      </c>
      <c r="G163" s="25">
        <v>44377</v>
      </c>
      <c r="H163" s="320">
        <v>2.8E-3</v>
      </c>
      <c r="I163" s="320">
        <v>3.0000000000000001E-3</v>
      </c>
      <c r="J163" s="321">
        <v>44407</v>
      </c>
      <c r="K163" s="26">
        <f t="shared" si="8"/>
        <v>3.7037037037036979E-2</v>
      </c>
      <c r="L163" s="26">
        <f t="shared" si="9"/>
        <v>0.11111111111111116</v>
      </c>
      <c r="M163" s="322">
        <v>44407</v>
      </c>
      <c r="N163" s="54"/>
      <c r="O163" s="55">
        <v>4855585689</v>
      </c>
      <c r="P163" s="55"/>
      <c r="Q163" s="55">
        <v>30</v>
      </c>
      <c r="R163" s="54"/>
      <c r="S163" s="55"/>
      <c r="T163" s="54"/>
      <c r="U163" s="54">
        <v>148</v>
      </c>
      <c r="V163" s="54">
        <v>4586938</v>
      </c>
      <c r="W163" s="54"/>
      <c r="X163" s="54">
        <v>2.7000000000000001E-3</v>
      </c>
      <c r="Y163" s="54">
        <v>2.6205E-3</v>
      </c>
      <c r="Z163" s="54">
        <v>3.7269999999999998E-3</v>
      </c>
      <c r="AA163" s="54">
        <v>2.5700000000000011E-3</v>
      </c>
      <c r="AB163" s="54">
        <v>2.6560000000000008E-3</v>
      </c>
      <c r="AC163" s="54">
        <v>2.4399999999999999E-3</v>
      </c>
      <c r="AD163" s="54">
        <v>2.4214285714285709E-3</v>
      </c>
      <c r="AE163" s="54">
        <v>2.487500000000001E-3</v>
      </c>
      <c r="AF163" s="54">
        <f>IF($Z$3="yes", 0.0000167368934223355/$X163, 0.0000167368934223355)</f>
        <v>6.1988494156798146E-3</v>
      </c>
      <c r="AG163" s="54">
        <f>IF($Z$3="yes", -0.0000500420042004201/$X163, -0.0000500420042004201)</f>
        <v>-1.8534075629785221E-2</v>
      </c>
      <c r="AH163" s="54">
        <f>IF($Z$3="yes", -5.56542617046831E-06/$X163, -5.56542617046831E-06)</f>
        <v>-2.0612689520253E-3</v>
      </c>
      <c r="AI163" s="54">
        <f>IF($Z$3="yes", -0.0000084513805522198/$X163, -0.0000084513805522198)</f>
        <v>-3.1301409452665924E-3</v>
      </c>
      <c r="AJ163" s="54">
        <f>IF($Z$3="yes", 0.000002857142857143/$X163, 0.000002857142857143)</f>
        <v>1.058201058201111E-3</v>
      </c>
      <c r="AK163" s="54">
        <f>IF($Z$3="yes", 0.0000200000000000002/$X163, 0.0000200000000000002)</f>
        <v>7.4074074074074814E-3</v>
      </c>
      <c r="AL163" s="54">
        <f>IF($Z$3="yes", 0.0000416666666666643/$X163, 0.0000416666666666643)</f>
        <v>1.5432098765431222E-2</v>
      </c>
      <c r="AM163" s="54">
        <f>IF($Z$3="yes", 0.0011065/$X163, 0.0011065)</f>
        <v>0.4098148148148148</v>
      </c>
      <c r="AN163" s="54">
        <f>IF($Z$3="yes", 0.0000504999999999984/$X163, 0.0000504999999999984)</f>
        <v>1.8703703703703112E-2</v>
      </c>
      <c r="AO163" s="54">
        <f>IF($Z$3="yes", 0.0000355000000000012/$X163, 0.0000355000000000012)</f>
        <v>1.3148148148148592E-2</v>
      </c>
      <c r="AP163" s="54">
        <f>IF($Z$3="yes", 0.000180499999999999/$X163, 0.000180499999999999)</f>
        <v>6.6851851851851482E-2</v>
      </c>
      <c r="AQ163" s="54">
        <f>IF($Z$3="yes", 0.000199071428571428/$X163, 0.000199071428571428)</f>
        <v>7.3730158730158521E-2</v>
      </c>
      <c r="AR163" s="54">
        <f>IF($Z$3="yes", 0.000132999999999999/$X163, 0.000132999999999999)</f>
        <v>4.9259259259258885E-2</v>
      </c>
      <c r="AS163" s="54">
        <f>IF($Z$3="yes", 0.00115699999999999/$X163, 0.00115699999999999)</f>
        <v>0.4285185185185148</v>
      </c>
      <c r="AT163" s="54">
        <f>IF($Z$3="yes", 0.00107099999999999/$X163, 0.00107099999999999)</f>
        <v>0.39666666666666289</v>
      </c>
      <c r="AU163" s="56">
        <f>IF($Z$3="yes", 0.001287/$X163, 0.001287)</f>
        <v>0.47666666666666663</v>
      </c>
      <c r="AV163" s="56">
        <f>IF($Z$3="yes", 0.00130557142857142/$X163, 0.00130557142857142)</f>
        <v>0.48354497354497039</v>
      </c>
      <c r="AW163" s="56">
        <f>IF($Z$3="yes", 0.00123949999999999/$X163, 0.00123949999999999)</f>
        <v>0.4590740740740703</v>
      </c>
      <c r="AX163" s="56">
        <f>IF($Z$3="yes", 0.0000859999999999997/$X163, 0.0000859999999999997)</f>
        <v>3.1851851851851742E-2</v>
      </c>
      <c r="AY163" s="56">
        <f>IF($Z$3="yes", 0.000216/$X163, 0.000216)</f>
        <v>7.9999999999999988E-2</v>
      </c>
      <c r="AZ163" s="56">
        <f>IF($Z$3="yes", 0.000234571428571429/$X163, 0.000234571428571429)</f>
        <v>8.6878306878307041E-2</v>
      </c>
      <c r="BA163" s="56">
        <f>IF($Z$3="yes", 0.0001685/$X163, 0.0001685)</f>
        <v>6.2407407407407404E-2</v>
      </c>
      <c r="BB163" s="56">
        <f>IF($Z$3="yes", 0.000130000000000001/$X163, 0.000130000000000001)</f>
        <v>4.8148148148148516E-2</v>
      </c>
      <c r="BC163" s="56">
        <f>IF($Z$3="yes", 0.00014857142857143/$X163, 0.00014857142857143)</f>
        <v>5.5026455026455555E-2</v>
      </c>
      <c r="BD163" s="56">
        <f>IF($Z$3="yes", 0.0000825000000000005/$X163, 0.0000825000000000005)</f>
        <v>3.0555555555555738E-2</v>
      </c>
      <c r="BE163" s="56">
        <f>IF($Z$3="yes", 0.0000185714285714289/$X163, 0.0000185714285714289)</f>
        <v>6.8783068783069999E-3</v>
      </c>
      <c r="BF163" s="56">
        <f>IF($Z$3="yes", 0.0000475000000000006/$X163, 0.0000475000000000006)</f>
        <v>1.7592592592592812E-2</v>
      </c>
      <c r="BG163" s="56">
        <f>IF($Z$3="yes", 0.0000660714285714296/$X163, 0.0000660714285714296)</f>
        <v>2.4470899470899851E-2</v>
      </c>
      <c r="BH163" s="56">
        <f>IF($Z$3="yes", 0.000605493197278911/$X163, 0.000605493197278911)</f>
        <v>0.22425673973292998</v>
      </c>
      <c r="BK163">
        <f>IF($BL$3="yes", MAX(0, (4586938 - 5876235) / 961018.501775069), 5876235)</f>
        <v>5876235</v>
      </c>
      <c r="BL163">
        <f>IF($BL$3="yes", MAX(0, (4586938 - 11523753.4) / 7992151.72818051), 11523753.4)</f>
        <v>11523753.4</v>
      </c>
      <c r="BM163">
        <f>IF($BL$3="yes", MAX(0, (4586938 - 9315409.55) / 6544137.6254871), 9315409.55)</f>
        <v>9315409.5500000007</v>
      </c>
      <c r="BN163">
        <f>IF($BL$3="yes", MAX(0, (4586938 - 10477565.58) / 7461493.65738164), 10477565.58)</f>
        <v>10477565.58</v>
      </c>
      <c r="BO163">
        <f>IF($BL$3="yes", MAX(0, (4586938 - 19198832.01) / 21588657.9448529), 19198832.01)</f>
        <v>19198832.010000002</v>
      </c>
      <c r="BP163">
        <f>IF($BL$3="yes", MAX(0, (4586938 - 49986930.345) / 91156721.2496151), 49986930.345)</f>
        <v>49986930.344999999</v>
      </c>
      <c r="BQ163">
        <v>55.875397394348902</v>
      </c>
      <c r="BT163">
        <v>-8057525.5000000447</v>
      </c>
      <c r="BU163">
        <v>435529.296078844</v>
      </c>
      <c r="BV163">
        <f>IF($Z$3="yes", 0.000422727092414051/$X163, 0.000422727092414051)</f>
        <v>0.15656558978298185</v>
      </c>
      <c r="BW163">
        <f>IF($Z$3="yes", 0.000574048510509664/$X163, 0.000574048510509664)</f>
        <v>0.21261055944802371</v>
      </c>
      <c r="BX163">
        <f>$BW$174 - $BV$174</f>
        <v>8.9122223183492597E-2</v>
      </c>
    </row>
    <row r="164" spans="1:95" ht="15.75" customHeight="1" thickBot="1" x14ac:dyDescent="0.3">
      <c r="A164" s="28" t="s">
        <v>745</v>
      </c>
      <c r="B164" s="36" t="s">
        <v>128</v>
      </c>
      <c r="C164" s="53">
        <v>2</v>
      </c>
      <c r="D164" s="31" t="s">
        <v>614</v>
      </c>
      <c r="E164" s="60" t="s">
        <v>873</v>
      </c>
      <c r="F164" s="24">
        <v>9.34</v>
      </c>
      <c r="G164" s="25">
        <v>44377</v>
      </c>
      <c r="H164" s="320">
        <v>7.84</v>
      </c>
      <c r="I164" s="320">
        <v>9.65</v>
      </c>
      <c r="J164" s="321">
        <v>44378</v>
      </c>
      <c r="K164" s="26">
        <f t="shared" si="8"/>
        <v>-0.16059957173447537</v>
      </c>
      <c r="L164" s="26">
        <f t="shared" si="9"/>
        <v>3.3190578158458273E-2</v>
      </c>
      <c r="M164" s="322">
        <v>44407</v>
      </c>
      <c r="N164" s="54"/>
      <c r="O164" s="55">
        <v>7600306</v>
      </c>
      <c r="P164" s="55">
        <v>5910000</v>
      </c>
      <c r="Q164" s="55">
        <v>1</v>
      </c>
      <c r="R164" s="54" t="s">
        <v>131</v>
      </c>
      <c r="S164" s="55" t="s">
        <v>135</v>
      </c>
      <c r="T164" s="54" t="s">
        <v>232</v>
      </c>
      <c r="U164" s="54">
        <v>304</v>
      </c>
      <c r="V164" s="54">
        <v>106032</v>
      </c>
      <c r="W164" s="54"/>
      <c r="X164" s="54">
        <v>9.34</v>
      </c>
      <c r="Y164" s="54">
        <v>5.650221499999998</v>
      </c>
      <c r="Z164" s="54">
        <v>8.663749999999995</v>
      </c>
      <c r="AA164" s="54">
        <v>9.3908000000000023</v>
      </c>
      <c r="AB164" s="54">
        <v>9.584999999999992</v>
      </c>
      <c r="AC164" s="54">
        <v>9.1795000000000027</v>
      </c>
      <c r="AD164" s="54">
        <v>9.1714285714285708</v>
      </c>
      <c r="AE164" s="54">
        <v>9.3212499999999956</v>
      </c>
      <c r="AF164" s="54">
        <f>IF($Z$3="yes", 0.0557566845421135/$X164, 0.0557566845421135)</f>
        <v>5.9696664391984478E-3</v>
      </c>
      <c r="AG164" s="54">
        <f>IF($Z$3="yes", 0.0406987398739878/$X164, 0.0406987398739878)</f>
        <v>4.3574667959301715E-3</v>
      </c>
      <c r="AH164" s="54">
        <f>IF($Z$3="yes", -0.0291524609843939/$X164, -0.0291524609843939)</f>
        <v>-3.1212484993997755E-3</v>
      </c>
      <c r="AI164" s="54">
        <f>IF($Z$3="yes", -0.0428585834333711/$X164, -0.0428585834333711)</f>
        <v>-4.5887134296971202E-3</v>
      </c>
      <c r="AJ164" s="54">
        <f>IF($Z$3="yes", 0.0163082706766912/$X164, 0.0163082706766912)</f>
        <v>1.7460675242710064E-3</v>
      </c>
      <c r="AK164" s="54">
        <f>IF($Z$3="yes", 0.032/$X164, 0.032)</f>
        <v>3.4261241970021416E-3</v>
      </c>
      <c r="AL164" s="54">
        <f>IF($Z$3="yes", 0.062261904761913/$X164, 0.062261904761913)</f>
        <v>6.6661568267572802E-3</v>
      </c>
      <c r="AM164" s="54">
        <f>IF($Z$3="yes", 3.01352849999999/$X164, 3.01352849999999)</f>
        <v>0.32264759100642287</v>
      </c>
      <c r="AN164" s="54">
        <f>IF($Z$3="yes", 3.7405785/$X164, 3.7405785)</f>
        <v>0.40049020342612418</v>
      </c>
      <c r="AO164" s="54">
        <f>IF($Z$3="yes", 3.93477849999999/$X164, 3.93477849999999)</f>
        <v>0.42128249464667988</v>
      </c>
      <c r="AP164" s="54">
        <f>IF($Z$3="yes", 3.5292785/$X164, 3.5292785)</f>
        <v>0.37786707708779443</v>
      </c>
      <c r="AQ164" s="54">
        <f>IF($Z$3="yes", 3.52120707142857/$X164, 3.52120707142857)</f>
        <v>0.37700289843988977</v>
      </c>
      <c r="AR164" s="54">
        <f>IF($Z$3="yes", 3.67102849999999/$X164, 3.67102849999999)</f>
        <v>0.39304373661670128</v>
      </c>
      <c r="AS164" s="54">
        <f>IF($Z$3="yes", 0.727050000000007/$X164, 0.727050000000007)</f>
        <v>7.784261241970096E-2</v>
      </c>
      <c r="AT164" s="54">
        <f>IF($Z$3="yes", 0.921249999999997/$X164, 0.921249999999997)</f>
        <v>9.8634903640256635E-2</v>
      </c>
      <c r="AU164" s="56">
        <f>IF($Z$3="yes", 0.515750000000007/$X164, 0.515750000000007)</f>
        <v>5.5219486081371207E-2</v>
      </c>
      <c r="AV164" s="56">
        <f>IF($Z$3="yes", 0.507678571428575/$X164, 0.507678571428575)</f>
        <v>5.4355307433466275E-2</v>
      </c>
      <c r="AW164" s="56">
        <f>IF($Z$3="yes", 0.6575/$X164, 0.6575)</f>
        <v>7.0396145610278377E-2</v>
      </c>
      <c r="AX164" s="56">
        <f>IF($Z$3="yes", 0.194199999999989/$X164, 0.194199999999989)</f>
        <v>2.0792291220555568E-2</v>
      </c>
      <c r="AY164" s="56">
        <f>IF($Z$3="yes", 0.405499999999989/$X164, 0.405499999999989)</f>
        <v>4.3415417558885332E-2</v>
      </c>
      <c r="AZ164" s="56">
        <f>IF($Z$3="yes", 0.413571428571421/$X164, 0.413571428571421)</f>
        <v>4.4279596206790256E-2</v>
      </c>
      <c r="BA164" s="56">
        <f>IF($Z$3="yes", 0.263749999999996/$X164, 0.263749999999996)</f>
        <v>2.8238758029978158E-2</v>
      </c>
      <c r="BB164" s="56">
        <f>IF($Z$3="yes", 0.211299999999999/$X164, 0.211299999999999)</f>
        <v>2.2623126338329656E-2</v>
      </c>
      <c r="BC164" s="56">
        <f>IF($Z$3="yes", 0.219371428571431/$X164, 0.219371428571431)</f>
        <v>2.3487304986234581E-2</v>
      </c>
      <c r="BD164" s="56">
        <f>IF($Z$3="yes", 0.0695500000000066/$X164, 0.0695500000000066)</f>
        <v>7.4464668094225486E-3</v>
      </c>
      <c r="BE164" s="56">
        <f>IF($Z$3="yes", 0.00807142857143183/$X164, 0.00807142857143183)</f>
        <v>8.6417864790490676E-4</v>
      </c>
      <c r="BF164" s="56">
        <f>IF($Z$3="yes", 0.141749999999992/$X164, 0.141749999999992)</f>
        <v>1.5176659528907066E-2</v>
      </c>
      <c r="BG164" s="56">
        <f>IF($Z$3="yes", 0.149821428571424/$X164, 0.149821428571424)</f>
        <v>1.604083817681199E-2</v>
      </c>
      <c r="BH164" s="56">
        <f>IF($Z$3="yes", 1.83595644897959/$X164, 1.83595644897959)</f>
        <v>0.19656921295284691</v>
      </c>
      <c r="BK164">
        <f>IF($BL$3="yes", MAX(0, (106032 - 349307.6) / 131650.635408417), 349307.6)</f>
        <v>349307.6</v>
      </c>
      <c r="BL164">
        <f>IF($BL$3="yes", MAX(0, (106032 - 348700.2) / 185703.430794264), 348700.2)</f>
        <v>348700.2</v>
      </c>
      <c r="BM164">
        <f>IF($BL$3="yes", MAX(0, (106032 - 1081289.75) / 1626118.92998316), 1081289.75)</f>
        <v>1081289.75</v>
      </c>
      <c r="BN164">
        <f>IF($BL$3="yes", MAX(0, (106032 - 1452980.4) / 2426106.44646485), 1452980.4)</f>
        <v>1452980.4</v>
      </c>
      <c r="BO164">
        <f>IF($BL$3="yes", MAX(0, (106032 - 3785082.8) / 18074414.4064284), 3785082.8)</f>
        <v>3785082.8</v>
      </c>
      <c r="BP164">
        <f>IF($BL$3="yes", MAX(0, (106032 - 2091481.728) / 12910501.509192), 2091481.728)</f>
        <v>2091481.7279999999</v>
      </c>
      <c r="BQ164">
        <v>47.851325347965641</v>
      </c>
      <c r="BT164">
        <v>478480.73099273792</v>
      </c>
      <c r="BU164">
        <v>37718.918682558928</v>
      </c>
      <c r="BV164">
        <f>IF($Z$3="yes", 0.781390281411796/$X164, 0.781390281411796)</f>
        <v>8.3660629701477085E-2</v>
      </c>
      <c r="BW164">
        <f>IF($Z$3="yes", 1.3430193737877/$X164, 1.3430193737877)</f>
        <v>0.14379222417427195</v>
      </c>
      <c r="BX164">
        <f>$BW$169 - $BV$169</f>
        <v>4.2591885025802578E-2</v>
      </c>
    </row>
    <row r="165" spans="1:95" ht="15.75" customHeight="1" thickBot="1" x14ac:dyDescent="0.3">
      <c r="A165" s="28" t="s">
        <v>745</v>
      </c>
      <c r="B165" s="36" t="s">
        <v>128</v>
      </c>
      <c r="C165" s="53">
        <v>0</v>
      </c>
      <c r="D165" s="23" t="s">
        <v>874</v>
      </c>
      <c r="E165" s="15"/>
      <c r="F165" s="24">
        <v>3.05</v>
      </c>
      <c r="G165" s="25">
        <v>44377</v>
      </c>
      <c r="H165" s="320">
        <v>1.72</v>
      </c>
      <c r="I165" s="320">
        <v>3.57</v>
      </c>
      <c r="J165" s="321">
        <v>44378</v>
      </c>
      <c r="K165" s="26">
        <f t="shared" si="8"/>
        <v>-0.43606557377049182</v>
      </c>
      <c r="L165" s="26">
        <f t="shared" si="9"/>
        <v>0.17049180327868863</v>
      </c>
      <c r="M165" s="322">
        <v>44407</v>
      </c>
      <c r="N165" s="54"/>
      <c r="O165" s="55">
        <v>55049242</v>
      </c>
      <c r="P165" s="55">
        <v>52130000</v>
      </c>
      <c r="Q165" s="55">
        <v>1</v>
      </c>
      <c r="R165" s="54" t="s">
        <v>152</v>
      </c>
      <c r="S165" s="55"/>
      <c r="T165" s="54" t="s">
        <v>373</v>
      </c>
      <c r="U165" s="54">
        <v>88</v>
      </c>
      <c r="V165" s="54">
        <v>171477</v>
      </c>
      <c r="W165" s="54"/>
      <c r="X165" s="54">
        <v>3.04</v>
      </c>
      <c r="Y165" s="54">
        <v>6.3654690000000018</v>
      </c>
      <c r="Z165" s="54">
        <v>5.2434999999999956</v>
      </c>
      <c r="AA165" s="54">
        <v>3.453199999999998</v>
      </c>
      <c r="AB165" s="54">
        <v>3.962400000000005</v>
      </c>
      <c r="AC165" s="54">
        <v>3.1179999999999999</v>
      </c>
      <c r="AD165" s="54">
        <v>3.0228571428571418</v>
      </c>
      <c r="AE165" s="54">
        <v>2.9524999999999988</v>
      </c>
      <c r="AF165" s="54">
        <f>IF($Z$3="yes", -0.0228259005475138/$X165, -0.0228259005475138)</f>
        <v>-7.5085199169453295E-3</v>
      </c>
      <c r="AG165" s="54">
        <f>IF($Z$3="yes", -0.0664930693069303/$X165, -0.0664930693069303)</f>
        <v>-2.1872720166753387E-2</v>
      </c>
      <c r="AH165" s="54">
        <f>IF($Z$3="yes", -0.0308561824729887/$X165, -0.0308561824729887)</f>
        <v>-1.0150060024009441E-2</v>
      </c>
      <c r="AI165" s="54">
        <f>IF($Z$3="yes", -0.0568701080432186/$X165, -0.0568701080432186)</f>
        <v>-1.8707272382637696E-2</v>
      </c>
      <c r="AJ165" s="54">
        <f>IF($Z$3="yes", -0.0260300751879701/$X165, -0.0260300751879701)</f>
        <v>-8.5625247328849022E-3</v>
      </c>
      <c r="AK165" s="54">
        <f>IF($Z$3="yes", -0.0221538461538459/$X165, -0.0221538461538459)</f>
        <v>-7.2874493927124664E-3</v>
      </c>
      <c r="AL165" s="54">
        <f>IF($Z$3="yes", 0.0159523809523803/$X165, 0.0159523809523803)</f>
        <v>5.2474937343356242E-3</v>
      </c>
      <c r="AM165" s="54">
        <f>IF($Z$3="yes", 1.121969/$X165, 1.121969)</f>
        <v>0.36906875</v>
      </c>
      <c r="AN165" s="54">
        <f>IF($Z$3="yes", 2.912269/$X165, 2.912269)</f>
        <v>0.95798322368421063</v>
      </c>
      <c r="AO165" s="54">
        <f>IF($Z$3="yes", 2.40306899999999/$X165, 2.40306899999999)</f>
        <v>0.79048322368420731</v>
      </c>
      <c r="AP165" s="54">
        <f>IF($Z$3="yes", 3.247469/$X165, 3.247469)</f>
        <v>1.0682463815789474</v>
      </c>
      <c r="AQ165" s="54">
        <f>IF($Z$3="yes", 3.34261185714285/$X165, 3.34261185714285)</f>
        <v>1.0995433740601479</v>
      </c>
      <c r="AR165" s="54">
        <f>IF($Z$3="yes", 3.412969/$X165, 3.412969)</f>
        <v>1.1226871710526316</v>
      </c>
      <c r="AS165" s="54">
        <f>IF($Z$3="yes", 1.79029999999999/$X165, 1.79029999999999)</f>
        <v>0.58891447368420724</v>
      </c>
      <c r="AT165" s="54">
        <f>IF($Z$3="yes", 1.28109999999999/$X165, 1.28109999999999)</f>
        <v>0.4214144736842072</v>
      </c>
      <c r="AU165" s="56">
        <f>IF($Z$3="yes", 2.12549999999999/$X165, 2.12549999999999)</f>
        <v>0.69917763157894408</v>
      </c>
      <c r="AV165" s="56">
        <f>IF($Z$3="yes", 2.22064285714285/$X165, 2.22064285714285)</f>
        <v>0.73047462406014796</v>
      </c>
      <c r="AW165" s="56">
        <f>IF($Z$3="yes", 2.29099999999999/$X165, 2.29099999999999)</f>
        <v>0.75361842105262833</v>
      </c>
      <c r="AX165" s="56">
        <f>IF($Z$3="yes", 0.509200000000007/$X165, 0.509200000000007)</f>
        <v>0.16750000000000229</v>
      </c>
      <c r="AY165" s="56">
        <f>IF($Z$3="yes", 0.844400000000005/$X165, 0.844400000000005)</f>
        <v>0.27776315789473849</v>
      </c>
      <c r="AZ165" s="56">
        <f>IF($Z$3="yes", 0.939542857142863/$X165, 0.939542857142863)</f>
        <v>0.30906015037594176</v>
      </c>
      <c r="BA165" s="56">
        <f>IF($Z$3="yes", 1.0099/$X165, 1.0099)</f>
        <v>0.33220394736842107</v>
      </c>
      <c r="BB165" s="56">
        <f>IF($Z$3="yes", 0.335199999999997/$X165, 0.335199999999997)</f>
        <v>0.11026315789473586</v>
      </c>
      <c r="BC165" s="56">
        <f>IF($Z$3="yes", 0.430342857142855/$X165, 0.430342857142855)</f>
        <v>0.14156015037593914</v>
      </c>
      <c r="BD165" s="56">
        <f>IF($Z$3="yes", 0.500699999999998/$X165, 0.500699999999998)</f>
        <v>0.16470394736842039</v>
      </c>
      <c r="BE165" s="56">
        <f>IF($Z$3="yes", 0.095142857142858/$X165, 0.095142857142858)</f>
        <v>3.1296992481203288E-2</v>
      </c>
      <c r="BF165" s="56">
        <f>IF($Z$3="yes", 0.165500000000001/$X165, 0.165500000000001)</f>
        <v>5.4440789473684539E-2</v>
      </c>
      <c r="BG165" s="56">
        <f>IF($Z$3="yes", 0.070357142857143/$X165, 0.070357142857143)</f>
        <v>2.3143796992481251E-2</v>
      </c>
      <c r="BH165" s="56">
        <f>IF($Z$3="yes", 1.57096688435374/$X165, 1.57096688435374)</f>
        <v>0.51676542248478297</v>
      </c>
      <c r="BK165">
        <f>IF($BL$3="yes", MAX(0, (171477 - 122280.4) / 39566.4607343138), 122280.4)</f>
        <v>122280.4</v>
      </c>
      <c r="BL165">
        <f>IF($BL$3="yes", MAX(0, (171477 - 122834.5) / 53314.7122682848), 122834.5)</f>
        <v>122834.5</v>
      </c>
      <c r="BM165">
        <f>IF($BL$3="yes", MAX(0, (171477 - 191604.3) / 95761.2685280954), 191604.3)</f>
        <v>191604.3</v>
      </c>
      <c r="BN165">
        <f>IF($BL$3="yes", MAX(0, (171477 - 346405.38) / 1054993.14353386), 346405.38)</f>
        <v>346405.38</v>
      </c>
      <c r="BO165">
        <f>IF($BL$3="yes", MAX(0, (171477 - 227757.11) / 760286.110466104), 227757.11)</f>
        <v>227757.11</v>
      </c>
      <c r="BP165">
        <f>IF($BL$3="yes", MAX(0, (171477 - 202377.905) / 867112.42898218), 202377.905)</f>
        <v>202377.905</v>
      </c>
      <c r="BQ165">
        <v>44.208465890112123</v>
      </c>
      <c r="BT165">
        <v>-297721.20365338243</v>
      </c>
      <c r="BU165">
        <v>-131.11957376741341</v>
      </c>
      <c r="BV165">
        <f>IF($Z$3="yes", 0.218889972303861/$X165, 0.218889972303861)</f>
        <v>7.2003280363112168E-2</v>
      </c>
      <c r="BW165">
        <f>IF($Z$3="yes", 0.335182225786427/$X165, 0.335182225786427)</f>
        <v>0.11025731111395624</v>
      </c>
      <c r="BX165">
        <f>$BW$167 - $BV$167</f>
        <v>2.4852849973554469E-2</v>
      </c>
    </row>
    <row r="166" spans="1:95" ht="15.75" customHeight="1" thickBot="1" x14ac:dyDescent="0.3">
      <c r="A166" s="28" t="s">
        <v>745</v>
      </c>
      <c r="B166" s="36" t="s">
        <v>128</v>
      </c>
      <c r="C166" s="53">
        <v>1</v>
      </c>
      <c r="D166" s="297" t="s">
        <v>549</v>
      </c>
      <c r="E166" s="15"/>
      <c r="F166" s="24">
        <v>2.2000000000000002</v>
      </c>
      <c r="G166" s="25">
        <v>44377</v>
      </c>
      <c r="H166" s="320">
        <v>1.66</v>
      </c>
      <c r="I166" s="320">
        <v>2.35</v>
      </c>
      <c r="J166" s="321">
        <v>44392</v>
      </c>
      <c r="K166" s="26">
        <f t="shared" ref="K166:K196" si="10">IF(F166&lt;&gt;"", (H166/F166)-100%, "")</f>
        <v>-0.24545454545454559</v>
      </c>
      <c r="L166" s="26">
        <f t="shared" ref="L166:L196" si="11">IF(F166&lt;&gt;"", (I166/F166)-100%, "")</f>
        <v>6.8181818181818121E-2</v>
      </c>
      <c r="M166" s="322">
        <v>44407</v>
      </c>
      <c r="N166" s="54"/>
      <c r="O166" s="55">
        <v>12000000</v>
      </c>
      <c r="P166" s="55">
        <v>7050000</v>
      </c>
      <c r="Q166" s="55">
        <v>15</v>
      </c>
      <c r="R166" s="54" t="s">
        <v>152</v>
      </c>
      <c r="S166" s="55" t="s">
        <v>132</v>
      </c>
      <c r="T166" s="54" t="s">
        <v>214</v>
      </c>
      <c r="U166" s="54">
        <v>12</v>
      </c>
      <c r="V166" s="54">
        <v>1130668</v>
      </c>
      <c r="W166" s="54"/>
      <c r="X166" s="54">
        <v>2.17</v>
      </c>
      <c r="Y166" s="54">
        <v>2.9833399999999979</v>
      </c>
      <c r="Z166" s="54">
        <v>2.8517700000000001</v>
      </c>
      <c r="AA166" s="54">
        <v>2.2563900000000001</v>
      </c>
      <c r="AB166" s="54">
        <v>2.4125899999999989</v>
      </c>
      <c r="AC166" s="54">
        <v>2.2435</v>
      </c>
      <c r="AD166" s="54">
        <v>2.160714285714286</v>
      </c>
      <c r="AE166" s="54">
        <v>2.1250000000000009</v>
      </c>
      <c r="AF166" s="54">
        <f>IF($Z$3="yes", -0.00433553513837846/$X166, -0.00433553513837846)</f>
        <v>-1.99794246008224E-3</v>
      </c>
      <c r="AG166" s="54">
        <f>IF($Z$3="yes", -0.020805898589859/$X166, -0.020805898589859)</f>
        <v>-9.5879717003958531E-3</v>
      </c>
      <c r="AH166" s="54">
        <f>IF($Z$3="yes", -0.00317817527010795/$X166, -0.00317817527010795)</f>
        <v>-1.4645968986672581E-3</v>
      </c>
      <c r="AI166" s="54">
        <f>IF($Z$3="yes", -0.0130144297719082/$X166, -0.0130144297719082)</f>
        <v>-5.9974330746120743E-3</v>
      </c>
      <c r="AJ166" s="54">
        <f>IF($Z$3="yes", -0.0212857142857143/$X166, -0.0212857142857143)</f>
        <v>-9.8090849242923051E-3</v>
      </c>
      <c r="AK166" s="54">
        <f>IF($Z$3="yes", -0.0114505494505501/$X166, -0.0114505494505501)</f>
        <v>-5.2767508988710143E-3</v>
      </c>
      <c r="AL166" s="54">
        <f>IF($Z$3="yes", 0.00499999999999815/$X166, 0.00499999999999815)</f>
        <v>2.3041474654369354E-3</v>
      </c>
      <c r="AM166" s="54">
        <f>IF($Z$3="yes", 0.131569999999998/$X166, 0.131569999999998)</f>
        <v>6.0631336405529035E-2</v>
      </c>
      <c r="AN166" s="54">
        <f>IF($Z$3="yes", 0.726949999999998/$X166, 0.726949999999998)</f>
        <v>0.33499999999999908</v>
      </c>
      <c r="AO166" s="54">
        <f>IF($Z$3="yes", 0.570749999999999/$X166, 0.570749999999999)</f>
        <v>0.26301843317972307</v>
      </c>
      <c r="AP166" s="54">
        <f>IF($Z$3="yes", 0.739839999999997/$X166, 0.739839999999997)</f>
        <v>0.34094009216589721</v>
      </c>
      <c r="AQ166" s="54">
        <f>IF($Z$3="yes", 0.822625714285711/$X166, 0.822625714285711)</f>
        <v>0.37909019091507418</v>
      </c>
      <c r="AR166" s="54">
        <f>IF($Z$3="yes", 0.858339999999997/$X166, 0.858339999999997)</f>
        <v>0.39554838709677281</v>
      </c>
      <c r="AS166" s="54">
        <f>IF($Z$3="yes", 0.59538/$X166, 0.59538)</f>
        <v>0.27436866359447004</v>
      </c>
      <c r="AT166" s="54">
        <f>IF($Z$3="yes", 0.439180000000001/$X166, 0.439180000000001)</f>
        <v>0.20238709677419403</v>
      </c>
      <c r="AU166" s="56">
        <f>IF($Z$3="yes", 0.608269999999999/$X166, 0.608269999999999)</f>
        <v>0.28030875576036818</v>
      </c>
      <c r="AV166" s="56">
        <f>IF($Z$3="yes", 0.691055714285713/$X166, 0.691055714285713)</f>
        <v>0.3184588545095452</v>
      </c>
      <c r="AW166" s="56">
        <f>IF($Z$3="yes", 0.726769999999999/$X166, 0.726769999999999)</f>
        <v>0.33491705069124378</v>
      </c>
      <c r="AX166" s="56">
        <f>IF($Z$3="yes", 0.156199999999999/$X166, 0.156199999999999)</f>
        <v>7.1981566820276038E-2</v>
      </c>
      <c r="AY166" s="56">
        <f>IF($Z$3="yes", 0.169089999999998/$X166, 0.169089999999998)</f>
        <v>7.7921658986174189E-2</v>
      </c>
      <c r="AZ166" s="56">
        <f>IF($Z$3="yes", 0.251875714285712/$X166, 0.251875714285712)</f>
        <v>0.11607175773535115</v>
      </c>
      <c r="BA166" s="56">
        <f>IF($Z$3="yes", 0.287589999999998/$X166, 0.287589999999998)</f>
        <v>0.13252995391704978</v>
      </c>
      <c r="BB166" s="56">
        <f>IF($Z$3="yes", 0.0128899999999991/$X166, 0.0128899999999991)</f>
        <v>5.9400921658982033E-3</v>
      </c>
      <c r="BC166" s="56">
        <f>IF($Z$3="yes", 0.0956757142857132/$X166, 0.0956757142857132)</f>
        <v>4.4090190915075211E-2</v>
      </c>
      <c r="BD166" s="56">
        <f>IF($Z$3="yes", 0.131389999999998/$X166, 0.131389999999998)</f>
        <v>6.0548387096773279E-2</v>
      </c>
      <c r="BE166" s="56">
        <f>IF($Z$3="yes", 0.082785714285714/$X166, 0.082785714285714)</f>
        <v>3.8150098749176964E-2</v>
      </c>
      <c r="BF166" s="56">
        <f>IF($Z$3="yes", 0.118499999999999/$X166, 0.118499999999999)</f>
        <v>5.4608294930875115E-2</v>
      </c>
      <c r="BG166" s="56">
        <f>IF($Z$3="yes", 0.0357142857142855/$X166, 0.0357142857142855)</f>
        <v>1.6458196181698387E-2</v>
      </c>
      <c r="BH166" s="56">
        <f>IF($Z$3="yes", 0.55617319727891/$X166, 0.55617319727891)</f>
        <v>0.2563010125709263</v>
      </c>
      <c r="BK166">
        <f>IF($BL$3="yes", MAX(0, (1130668 - 495559.6) / 329934.526740442), 495559.6)</f>
        <v>495559.6</v>
      </c>
      <c r="BL166">
        <f>IF($BL$3="yes", MAX(0, (1130668 - 383776.3) / 286741.573194767), 383776.3)</f>
        <v>383776.3</v>
      </c>
      <c r="BM166">
        <f>IF($BL$3="yes", MAX(0, (1130668 - 354162.85) / 379268.888033315), 354162.85)</f>
        <v>354162.85</v>
      </c>
      <c r="BN166">
        <f>IF($BL$3="yes", MAX(0, (1130668 - 481191.32) / 478343.525271679), 481191.32)</f>
        <v>481191.32</v>
      </c>
      <c r="BO166">
        <f>IF($BL$3="yes", MAX(0, (1130668 - 463564.05) / 885770.478406064), 463564.05)</f>
        <v>463564.05</v>
      </c>
      <c r="BP166">
        <f>IF($BL$3="yes", MAX(0, (1130668 - 318792.545) / 739770.498763655), 318792.545)</f>
        <v>318792.54499999998</v>
      </c>
      <c r="BQ166">
        <v>43.084904482245669</v>
      </c>
      <c r="BT166">
        <v>-1269534.5288810669</v>
      </c>
      <c r="BU166">
        <v>-209614.9179211857</v>
      </c>
      <c r="BV166">
        <f>IF($Z$3="yes", 0.148112144969814/$X166, 0.148112144969814)</f>
        <v>6.8254444686550231E-2</v>
      </c>
      <c r="BW166">
        <f>IF($Z$3="yes", 0.206025819341248/$X166, 0.206025819341248)</f>
        <v>9.4942773889976045E-2</v>
      </c>
      <c r="BX166">
        <f>$BW$166 - $BV$166</f>
        <v>2.6688329203425815E-2</v>
      </c>
    </row>
    <row r="167" spans="1:95" ht="15.75" customHeight="1" thickBot="1" x14ac:dyDescent="0.3">
      <c r="A167" s="28" t="s">
        <v>745</v>
      </c>
      <c r="B167" s="36" t="s">
        <v>128</v>
      </c>
      <c r="C167" s="53">
        <v>0</v>
      </c>
      <c r="D167" s="297" t="s">
        <v>248</v>
      </c>
      <c r="E167" s="60" t="s">
        <v>247</v>
      </c>
      <c r="F167" s="24">
        <v>2.2999999999999998</v>
      </c>
      <c r="G167" s="25">
        <v>44377</v>
      </c>
      <c r="H167" s="320">
        <v>1.9</v>
      </c>
      <c r="I167" s="320">
        <v>2.37</v>
      </c>
      <c r="J167" s="321">
        <v>44378</v>
      </c>
      <c r="K167" s="26">
        <f t="shared" si="10"/>
        <v>-0.17391304347826086</v>
      </c>
      <c r="L167" s="26">
        <f t="shared" si="11"/>
        <v>3.0434782608695699E-2</v>
      </c>
      <c r="M167" s="322">
        <v>44407</v>
      </c>
      <c r="N167" s="54"/>
      <c r="O167" s="55">
        <v>67424993</v>
      </c>
      <c r="P167" s="55">
        <v>18800000</v>
      </c>
      <c r="Q167" s="55">
        <v>1</v>
      </c>
      <c r="R167" s="54" t="s">
        <v>152</v>
      </c>
      <c r="S167" s="55" t="s">
        <v>192</v>
      </c>
      <c r="T167" s="54" t="s">
        <v>249</v>
      </c>
      <c r="U167" s="54">
        <v>184</v>
      </c>
      <c r="V167" s="54">
        <v>970476</v>
      </c>
      <c r="W167" s="54"/>
      <c r="X167" s="54">
        <v>2.35</v>
      </c>
      <c r="Y167" s="54">
        <v>3.164038000000001</v>
      </c>
      <c r="Z167" s="54">
        <v>2.8497999999999988</v>
      </c>
      <c r="AA167" s="54">
        <v>2.3490000000000002</v>
      </c>
      <c r="AB167" s="54">
        <v>2.4049999999999998</v>
      </c>
      <c r="AC167" s="54">
        <v>2.3294999999999999</v>
      </c>
      <c r="AD167" s="54">
        <v>2.289285714285715</v>
      </c>
      <c r="AE167" s="54">
        <v>2.2987499999999979</v>
      </c>
      <c r="AF167" s="54">
        <f>IF($Z$3="yes", -0.00259695327383189/$X167, -0.00259695327383189)</f>
        <v>-1.1050864995029318E-3</v>
      </c>
      <c r="AG167" s="54">
        <f>IF($Z$3="yes", -0.0194910291029102/$X167, -0.0194910291029102)</f>
        <v>-8.2940549374085955E-3</v>
      </c>
      <c r="AH167" s="54">
        <f>IF($Z$3="yes", -0.00199039615846338/$X167, -0.00199039615846338)</f>
        <v>-8.4697708870782131E-4</v>
      </c>
      <c r="AI167" s="54">
        <f>IF($Z$3="yes", -0.00491284513805505/$X167, -0.00491284513805505)</f>
        <v>-2.0905723991723616E-3</v>
      </c>
      <c r="AJ167" s="54">
        <f>IF($Z$3="yes", -0.0075864661654135/$X167, -0.0075864661654135)</f>
        <v>-3.2282834746440421E-3</v>
      </c>
      <c r="AK167" s="54">
        <f>IF($Z$3="yes", 0.00270329670329717/$X167, 0.00270329670329717)</f>
        <v>1.1503390226796468E-3</v>
      </c>
      <c r="AL167" s="54">
        <f>IF($Z$3="yes", 0.0191666666666702/$X167, 0.0191666666666702)</f>
        <v>8.1560283687958299E-3</v>
      </c>
      <c r="AM167" s="54">
        <f>IF($Z$3="yes", 0.314238000000001/$X167, 0.314238000000001)</f>
        <v>0.13371829787234085</v>
      </c>
      <c r="AN167" s="54">
        <f>IF($Z$3="yes", 0.815038/$X167, 0.815038)</f>
        <v>0.34682468085106383</v>
      </c>
      <c r="AO167" s="54">
        <f>IF($Z$3="yes", 0.759038/$X167, 0.759038)</f>
        <v>0.32299489361702127</v>
      </c>
      <c r="AP167" s="54">
        <f>IF($Z$3="yes", 0.834538/$X167, 0.834538)</f>
        <v>0.35512255319148933</v>
      </c>
      <c r="AQ167" s="54">
        <f>IF($Z$3="yes", 0.874752285714286/$X167, 0.874752285714286)</f>
        <v>0.37223501519756846</v>
      </c>
      <c r="AR167" s="54">
        <f>IF($Z$3="yes", 0.865288000000002/$X167, 0.865288000000002)</f>
        <v>0.36820765957446894</v>
      </c>
      <c r="AS167" s="54">
        <f>IF($Z$3="yes", 0.500799999999999/$X167, 0.500799999999999)</f>
        <v>0.21310638297872297</v>
      </c>
      <c r="AT167" s="54">
        <f>IF($Z$3="yes", 0.444799999999999/$X167, 0.444799999999999)</f>
        <v>0.18927659574468042</v>
      </c>
      <c r="AU167" s="56">
        <f>IF($Z$3="yes", 0.520299999999999/$X167, 0.520299999999999)</f>
        <v>0.22140425531914851</v>
      </c>
      <c r="AV167" s="56">
        <f>IF($Z$3="yes", 0.560514285714284/$X167, 0.560514285714284)</f>
        <v>0.23851671732522722</v>
      </c>
      <c r="AW167" s="56">
        <f>IF($Z$3="yes", 0.55105/$X167, 0.55105)</f>
        <v>0.23448936170212767</v>
      </c>
      <c r="AX167" s="56">
        <f>IF($Z$3="yes", 0.056/$X167, 0.056)</f>
        <v>2.3829787234042554E-2</v>
      </c>
      <c r="AY167" s="56">
        <f>IF($Z$3="yes", 0.0755000000000003/$X167, 0.0755000000000003)</f>
        <v>3.2127659574468212E-2</v>
      </c>
      <c r="AZ167" s="56">
        <f>IF($Z$3="yes", 0.115714285714285/$X167, 0.115714285714285)</f>
        <v>4.924012158054681E-2</v>
      </c>
      <c r="BA167" s="56">
        <f>IF($Z$3="yes", 0.106250000000001/$X167, 0.106250000000001)</f>
        <v>4.5212765957447228E-2</v>
      </c>
      <c r="BB167" s="56">
        <f>IF($Z$3="yes", 0.0195000000000002/$X167, 0.0195000000000002)</f>
        <v>8.2978723404256178E-3</v>
      </c>
      <c r="BC167" s="56">
        <f>IF($Z$3="yes", 0.0597142857142856/$X167, 0.0597142857142856)</f>
        <v>2.5410334346504509E-2</v>
      </c>
      <c r="BD167" s="56">
        <f>IF($Z$3="yes", 0.0502500000000019/$X167, 0.0502500000000019)</f>
        <v>2.1382978723405062E-2</v>
      </c>
      <c r="BE167" s="56">
        <f>IF($Z$3="yes", 0.0402142857142853/$X167, 0.0402142857142853)</f>
        <v>1.7112462006078851E-2</v>
      </c>
      <c r="BF167" s="56">
        <f>IF($Z$3="yes", 0.0307500000000016/$X167, 0.0307500000000016)</f>
        <v>1.3085106382979403E-2</v>
      </c>
      <c r="BG167" s="56">
        <f>IF($Z$3="yes", 0.0094642857142837/$X167, 0.0094642857142837)</f>
        <v>4.027355623099446E-3</v>
      </c>
      <c r="BH167" s="56">
        <f>IF($Z$3="yes", 0.526784448979591/$X167, 0.526784448979591)</f>
        <v>0.22416359531046423</v>
      </c>
      <c r="BK167">
        <f>IF($BL$3="yes", MAX(0, (970476 - 758506) / 325717.61837211), 758506)</f>
        <v>758506</v>
      </c>
      <c r="BL167">
        <f>IF($BL$3="yes", MAX(0, (970476 - 639861.1) / 288046.53366234), 639861.1)</f>
        <v>639861.1</v>
      </c>
      <c r="BM167">
        <f>IF($BL$3="yes", MAX(0, (970476 - 688261.6) / 313280.739531238), 688261.6)</f>
        <v>688261.6</v>
      </c>
      <c r="BN167">
        <f>IF($BL$3="yes", MAX(0, (970476 - 726862.22) / 428685.894873404), 726862.22)</f>
        <v>726862.22</v>
      </c>
      <c r="BO167">
        <f>IF($BL$3="yes", MAX(0, (970476 - 2214955.97) / 3141142.1500236), 2214955.97)</f>
        <v>2214955.9700000002</v>
      </c>
      <c r="BP167">
        <f>IF($BL$3="yes", MAX(0, (970476 - 5391639.045) / 20931103.0796234), 5391639.045)</f>
        <v>5391639.0449999999</v>
      </c>
      <c r="BQ167">
        <v>50.238590765299698</v>
      </c>
      <c r="BT167">
        <v>-1050154.410950718</v>
      </c>
      <c r="BU167">
        <v>86309.004581831628</v>
      </c>
      <c r="BV167">
        <f>IF($Z$3="yes", 0.148633834635264/$X167, 0.148633834635264)</f>
        <v>6.3248440270325099E-2</v>
      </c>
      <c r="BW167">
        <f>IF($Z$3="yes", 0.207038032073117/$X167, 0.207038032073117)</f>
        <v>8.8101290243879568E-2</v>
      </c>
      <c r="BX167">
        <f>$BW$164 - $BV$164</f>
        <v>6.0131594472794869E-2</v>
      </c>
    </row>
    <row r="168" spans="1:95" ht="15.75" customHeight="1" thickBot="1" x14ac:dyDescent="0.3">
      <c r="A168" s="28" t="s">
        <v>745</v>
      </c>
      <c r="B168" s="36" t="s">
        <v>128</v>
      </c>
      <c r="C168" s="53">
        <v>1</v>
      </c>
      <c r="D168" s="23" t="s">
        <v>875</v>
      </c>
      <c r="E168" s="15"/>
      <c r="F168" s="24">
        <v>1.83</v>
      </c>
      <c r="G168" s="25">
        <v>44377</v>
      </c>
      <c r="H168" s="320">
        <v>0.97</v>
      </c>
      <c r="I168" s="320">
        <v>1.91</v>
      </c>
      <c r="J168" s="321">
        <v>44378</v>
      </c>
      <c r="K168" s="26">
        <f t="shared" si="10"/>
        <v>-0.46994535519125691</v>
      </c>
      <c r="L168" s="26">
        <f t="shared" si="11"/>
        <v>4.3715846994535346E-2</v>
      </c>
      <c r="M168" s="322">
        <v>44407</v>
      </c>
      <c r="N168" s="54"/>
      <c r="O168" s="55">
        <v>30103665</v>
      </c>
      <c r="P168" s="55">
        <v>10430000</v>
      </c>
      <c r="Q168" s="55">
        <v>1</v>
      </c>
      <c r="R168" s="54" t="s">
        <v>152</v>
      </c>
      <c r="S168" s="55" t="s">
        <v>132</v>
      </c>
      <c r="T168" s="54" t="s">
        <v>214</v>
      </c>
      <c r="U168" s="54">
        <v>48</v>
      </c>
      <c r="V168" s="54">
        <v>2778908</v>
      </c>
      <c r="W168" s="54"/>
      <c r="X168" s="54">
        <v>1.86</v>
      </c>
      <c r="Y168" s="54">
        <v>2.0308244999999991</v>
      </c>
      <c r="Z168" s="54">
        <v>2.2879840000000011</v>
      </c>
      <c r="AA168" s="54">
        <v>1.745568</v>
      </c>
      <c r="AB168" s="54">
        <v>1.836768</v>
      </c>
      <c r="AC168" s="54">
        <v>1.7190000000000001</v>
      </c>
      <c r="AD168" s="54">
        <v>1.702142857142857</v>
      </c>
      <c r="AE168" s="54">
        <v>1.6825000000000001</v>
      </c>
      <c r="AF168" s="54">
        <f>IF($Z$3="yes", 0.000859263406585205/$X168, 0.000859263406585205)</f>
        <v>4.6196957343290593E-4</v>
      </c>
      <c r="AG168" s="54">
        <f>IF($Z$3="yes", -0.0208887704770478/$X168, -0.0208887704770478)</f>
        <v>-1.1230521761853657E-2</v>
      </c>
      <c r="AH168" s="54">
        <f>IF($Z$3="yes", -0.00413126530612235/$X168, -0.00413126530612235)</f>
        <v>-2.221110379635672E-3</v>
      </c>
      <c r="AI168" s="54">
        <f>IF($Z$3="yes", -0.0102955870348138/$X168, -0.0102955870348138)</f>
        <v>-5.5352618466740855E-3</v>
      </c>
      <c r="AJ168" s="54">
        <f>IF($Z$3="yes", -0.00327819548872183/$X168, -0.00327819548872183)</f>
        <v>-1.7624706928611989E-3</v>
      </c>
      <c r="AK168" s="54">
        <f>IF($Z$3="yes", -0.00195604395604381/$X168, -0.00195604395604381)</f>
        <v>-1.0516365355074245E-3</v>
      </c>
      <c r="AL168" s="54">
        <f>IF($Z$3="yes", 0.0350000000000003/$X168, 0.0350000000000003)</f>
        <v>1.8817204301075429E-2</v>
      </c>
      <c r="AM168" s="54">
        <f>IF($Z$3="yes", 0.257159500000002/$X168, 0.257159500000002)</f>
        <v>0.1382577956989258</v>
      </c>
      <c r="AN168" s="54">
        <f>IF($Z$3="yes", 0.285256499999999/$X168, 0.285256499999999)</f>
        <v>0.15336370967741883</v>
      </c>
      <c r="AO168" s="54">
        <f>IF($Z$3="yes", 0.194056499999998/$X168, 0.194056499999998)</f>
        <v>0.10433145161290214</v>
      </c>
      <c r="AP168" s="54">
        <f>IF($Z$3="yes", 0.311824499999998/$X168, 0.311824499999998)</f>
        <v>0.16764758064516022</v>
      </c>
      <c r="AQ168" s="54">
        <f>IF($Z$3="yes", 0.328681642857142/$X168, 0.328681642857142)</f>
        <v>0.17671056067588281</v>
      </c>
      <c r="AR168" s="54">
        <f>IF($Z$3="yes", 0.348324499999999/$X168, 0.348324499999999)</f>
        <v>0.18727123655913921</v>
      </c>
      <c r="AS168" s="54">
        <f>IF($Z$3="yes", 0.542416000000001/$X168, 0.542416000000001)</f>
        <v>0.29162150537634463</v>
      </c>
      <c r="AT168" s="54">
        <f>IF($Z$3="yes", 0.451216/$X168, 0.451216)</f>
        <v>0.24258924731182796</v>
      </c>
      <c r="AU168" s="56">
        <f>IF($Z$3="yes", 0.568984/$X168, 0.568984)</f>
        <v>0.30590537634408604</v>
      </c>
      <c r="AV168" s="56">
        <f>IF($Z$3="yes", 0.585841142857144/$X168, 0.585841142857144)</f>
        <v>0.31496835637480858</v>
      </c>
      <c r="AW168" s="56">
        <f>IF($Z$3="yes", 0.605484000000001/$X168, 0.605484000000001)</f>
        <v>0.32552903225806507</v>
      </c>
      <c r="AX168" s="56">
        <f>IF($Z$3="yes", 0.0912000000000006/$X168, 0.0912000000000006)</f>
        <v>4.903225806451645E-2</v>
      </c>
      <c r="AY168" s="56">
        <f>IF($Z$3="yes", 0.117767999999999/$X168, 0.117767999999999)</f>
        <v>6.3316129032257529E-2</v>
      </c>
      <c r="AZ168" s="56">
        <f>IF($Z$3="yes", 0.134625142857143/$X168, 0.134625142857143)</f>
        <v>7.2379109062980104E-2</v>
      </c>
      <c r="BA168" s="56">
        <f>IF($Z$3="yes", 0.154268/$X168, 0.154268)</f>
        <v>8.293978494623655E-2</v>
      </c>
      <c r="BB168" s="56">
        <f>IF($Z$3="yes", 0.0265679999999992/$X168, 0.0265679999999992)</f>
        <v>1.4283870967741504E-2</v>
      </c>
      <c r="BC168" s="56">
        <f>IF($Z$3="yes", 0.043425142857143/$X168, 0.043425142857143)</f>
        <v>2.3346850998463977E-2</v>
      </c>
      <c r="BD168" s="56">
        <f>IF($Z$3="yes", 0.0630679999999999/$X168, 0.0630679999999999)</f>
        <v>3.3907526881720378E-2</v>
      </c>
      <c r="BE168" s="56">
        <f>IF($Z$3="yes", 0.0168571428571437/$X168, 0.0168571428571437)</f>
        <v>9.0629800307224177E-3</v>
      </c>
      <c r="BF168" s="56">
        <f>IF($Z$3="yes", 0.0365000000000006/$X168, 0.0365000000000006)</f>
        <v>1.9623655913978817E-2</v>
      </c>
      <c r="BG168" s="56">
        <f>IF($Z$3="yes", 0.0196428571428568/$X168, 0.0196428571428568)</f>
        <v>1.0560675883256343E-2</v>
      </c>
      <c r="BH168" s="56">
        <f>IF($Z$3="yes", 0.382161591836734/$X168, 0.382161591836734)</f>
        <v>0.2054632214175989</v>
      </c>
      <c r="BK168">
        <f>IF($BL$3="yes", MAX(0, (2778908 - 853468.8) / 973193.29340299), 853468.8)</f>
        <v>853468.8</v>
      </c>
      <c r="BL168">
        <f>IF($BL$3="yes", MAX(0, (2778908 - 672338.8) / 721019.934746578), 672338.8)</f>
        <v>672338.8</v>
      </c>
      <c r="BM168">
        <f>IF($BL$3="yes", MAX(0, (2778908 - 737808.1) / 736632.062431027), 737808.1)</f>
        <v>737808.1</v>
      </c>
      <c r="BN168">
        <f>IF($BL$3="yes", MAX(0, (2778908 - 833616.3) / 2172424.32558321), 833616.3)</f>
        <v>833616.3</v>
      </c>
      <c r="BO168">
        <f>IF($BL$3="yes", MAX(0, (2778908 - 1327573.66) / 2513361.76665313), 1327573.66)</f>
        <v>1327573.6599999999</v>
      </c>
      <c r="BP168">
        <f>IF($BL$3="yes", MAX(0, (2778908 - 1432512.47) / 9244946.32044636), 1432512.47)</f>
        <v>1432512.47</v>
      </c>
      <c r="BQ168">
        <v>58.145660581821332</v>
      </c>
      <c r="BT168">
        <v>-2145884.821046419</v>
      </c>
      <c r="BU168">
        <v>-13853.935239197221</v>
      </c>
      <c r="BV168">
        <f>IF($Z$3="yes", 0.141391010618729/$X168, 0.141391010618729)</f>
        <v>7.6016672375660746E-2</v>
      </c>
      <c r="BW168">
        <f>IF($Z$3="yes", 0.198117519844183/$X168, 0.198117519844183)</f>
        <v>0.10651479561515215</v>
      </c>
      <c r="BX168">
        <f>$BW$163 - $BV$163</f>
        <v>5.6044969665041855E-2</v>
      </c>
    </row>
    <row r="169" spans="1:95" ht="15.75" customHeight="1" thickBot="1" x14ac:dyDescent="0.3">
      <c r="A169" s="325" t="s">
        <v>876</v>
      </c>
      <c r="B169" s="36" t="s">
        <v>128</v>
      </c>
      <c r="C169" s="326">
        <v>0</v>
      </c>
      <c r="D169" s="23" t="s">
        <v>500</v>
      </c>
      <c r="E169" s="15"/>
      <c r="F169" s="24">
        <v>4.29</v>
      </c>
      <c r="G169" s="25">
        <v>44377</v>
      </c>
      <c r="H169" s="320">
        <v>4.3899999999999997</v>
      </c>
      <c r="I169" s="320">
        <v>7.81</v>
      </c>
      <c r="J169" s="321">
        <v>44385</v>
      </c>
      <c r="K169" s="26">
        <f t="shared" si="10"/>
        <v>2.3310023310023187E-2</v>
      </c>
      <c r="L169" s="26">
        <f t="shared" si="11"/>
        <v>0.82051282051282048</v>
      </c>
      <c r="M169" s="322">
        <v>44407</v>
      </c>
      <c r="N169" s="54"/>
      <c r="O169" s="55">
        <v>5414296</v>
      </c>
      <c r="P169" s="55">
        <v>4980000</v>
      </c>
      <c r="Q169" s="55">
        <v>8</v>
      </c>
      <c r="R169" s="54" t="s">
        <v>131</v>
      </c>
      <c r="S169" s="55" t="s">
        <v>281</v>
      </c>
      <c r="T169" s="54" t="s">
        <v>297</v>
      </c>
      <c r="U169" s="54">
        <v>136</v>
      </c>
      <c r="V169" s="54">
        <v>259976</v>
      </c>
      <c r="W169" s="54"/>
      <c r="X169" s="54">
        <v>4.29</v>
      </c>
      <c r="Y169" s="54">
        <v>5.2240175000000022</v>
      </c>
      <c r="Z169" s="54">
        <v>6.0282600000000004</v>
      </c>
      <c r="AA169" s="54">
        <v>4.5863199999999988</v>
      </c>
      <c r="AB169" s="54">
        <v>4.8903199999999973</v>
      </c>
      <c r="AC169" s="54">
        <v>4.4924999999999997</v>
      </c>
      <c r="AD169" s="54">
        <v>4.3878571428571416</v>
      </c>
      <c r="AE169" s="54">
        <v>4.1449999999999978</v>
      </c>
      <c r="AF169" s="54">
        <f>IF($Z$3="yes", 0.0124248387459685/$X169, 0.0124248387459685)</f>
        <v>2.8962328079180652E-3</v>
      </c>
      <c r="AG169" s="54">
        <f>IF($Z$3="yes", -0.0569448664866487/$X169, -0.0569448664866487)</f>
        <v>-1.3273861651899463E-2</v>
      </c>
      <c r="AH169" s="54">
        <f>IF($Z$3="yes", -0.0187539975990392/$X169, -0.0187539975990392)</f>
        <v>-4.3715612118972501E-3</v>
      </c>
      <c r="AI169" s="54">
        <f>IF($Z$3="yes", -0.0310536374549824/$X169, -0.0310536374549824)</f>
        <v>-7.2386101293665274E-3</v>
      </c>
      <c r="AJ169" s="54">
        <f>IF($Z$3="yes", -0.0427443609022556/$X169, -0.0427443609022556)</f>
        <v>-9.9637204900362708E-3</v>
      </c>
      <c r="AK169" s="54">
        <f>IF($Z$3="yes", -0.0666593406593399/$X169, -0.0666593406593399)</f>
        <v>-1.5538307845999976E-2</v>
      </c>
      <c r="AL169" s="54">
        <f>IF($Z$3="yes", 0.0292857142857228/$X169, 0.0292857142857228)</f>
        <v>6.8265068265088115E-3</v>
      </c>
      <c r="AM169" s="54">
        <f>IF($Z$3="yes", 0.804242499999998/$X169, 0.804242499999998)</f>
        <v>0.18746911421911375</v>
      </c>
      <c r="AN169" s="54">
        <f>IF($Z$3="yes", 0.637697500000003/$X169, 0.637697500000003)</f>
        <v>0.14864743589743659</v>
      </c>
      <c r="AO169" s="54">
        <f>IF($Z$3="yes", 0.333697500000004/$X169, 0.333697500000004)</f>
        <v>7.7784965034965958E-2</v>
      </c>
      <c r="AP169" s="54">
        <f>IF($Z$3="yes", 0.731517500000002/$X169, 0.731517500000002)</f>
        <v>0.17051689976690024</v>
      </c>
      <c r="AQ169" s="54">
        <f>IF($Z$3="yes", 0.836160357142859/$X169, 0.836160357142859)</f>
        <v>0.19490917415917458</v>
      </c>
      <c r="AR169" s="54">
        <f>IF($Z$3="yes", 1.0790175/$X169, 1.0790175)</f>
        <v>0.25151923076923077</v>
      </c>
      <c r="AS169" s="54">
        <f>IF($Z$3="yes", 1.44194/$X169, 1.44194)</f>
        <v>0.33611655011655012</v>
      </c>
      <c r="AT169" s="54">
        <f>IF($Z$3="yes", 1.13794/$X169, 1.13794)</f>
        <v>0.26525407925407923</v>
      </c>
      <c r="AU169" s="56">
        <f>IF($Z$3="yes", 1.53576/$X169, 1.53576)</f>
        <v>0.35798601398601398</v>
      </c>
      <c r="AV169" s="56">
        <f>IF($Z$3="yes", 1.64040285714285/$X169, 1.64040285714285)</f>
        <v>0.38237828837828669</v>
      </c>
      <c r="AW169" s="56">
        <f>IF($Z$3="yes", 1.88326/$X169, 1.88326)</f>
        <v>0.43898834498834499</v>
      </c>
      <c r="AX169" s="56">
        <f>IF($Z$3="yes", 0.303999999999998/$X169, 0.303999999999998)</f>
        <v>7.0862470862470398E-2</v>
      </c>
      <c r="AY169" s="56">
        <f>IF($Z$3="yes", 0.397819999999997/$X169, 0.397819999999997)</f>
        <v>9.2731934731934029E-2</v>
      </c>
      <c r="AZ169" s="56">
        <f>IF($Z$3="yes", 0.502462857142854/$X169, 0.502462857142854)</f>
        <v>0.11712420912420839</v>
      </c>
      <c r="BA169" s="56">
        <f>IF($Z$3="yes", 0.745319999999999/$X169, 0.745319999999999)</f>
        <v>0.17373426573426551</v>
      </c>
      <c r="BB169" s="56">
        <f>IF($Z$3="yes", 0.0938199999999991/$X169, 0.0938199999999991)</f>
        <v>2.1869463869463659E-2</v>
      </c>
      <c r="BC169" s="56">
        <f>IF($Z$3="yes", 0.198462857142856/$X169, 0.198462857142856)</f>
        <v>4.6261738261737996E-2</v>
      </c>
      <c r="BD169" s="56">
        <f>IF($Z$3="yes", 0.441320000000001/$X169, 0.441320000000001)</f>
        <v>0.1028717948717951</v>
      </c>
      <c r="BE169" s="56">
        <f>IF($Z$3="yes", 0.104642857142857/$X169, 0.104642857142857)</f>
        <v>2.4392274392274357E-2</v>
      </c>
      <c r="BF169" s="56">
        <f>IF($Z$3="yes", 0.347500000000001/$X169, 0.347500000000001)</f>
        <v>8.1002331002331229E-2</v>
      </c>
      <c r="BG169" s="56">
        <f>IF($Z$3="yes", 0.242857142857144/$X169, 0.242857142857144)</f>
        <v>5.6610056610056872E-2</v>
      </c>
      <c r="BH169" s="56">
        <f>IF($Z$3="yes", 1.07289326530612/$X169, 1.07289326530612)</f>
        <v>0.25009167023452683</v>
      </c>
      <c r="BK169">
        <f>IF($BL$3="yes", MAX(0, (259976 - 191140.6) / 60058.3004807828), 191140.6)</f>
        <v>191140.6</v>
      </c>
      <c r="BL169">
        <f>IF($BL$3="yes", MAX(0, (259976 - 289218.5) / 125846.799218136), 289218.5)</f>
        <v>289218.5</v>
      </c>
      <c r="BM169">
        <f>IF($BL$3="yes", MAX(0, (259976 - 690610.75) / 712743.96891667), 690610.75)</f>
        <v>690610.75</v>
      </c>
      <c r="BN169">
        <f>IF($BL$3="yes", MAX(0, (259976 - 733696.88) / 1012314.95174158), 733696.88)</f>
        <v>733696.88</v>
      </c>
      <c r="BO169">
        <f>IF($BL$3="yes", MAX(0, (259976 - 603968.336) / 774190.401045354), 603968.336)</f>
        <v>603968.33600000001</v>
      </c>
      <c r="BP169">
        <f>IF($BL$3="yes", MAX(0, (259976 - 1241050.677) / 4860594.01104125), 1241050.677)</f>
        <v>1241050.6769999999</v>
      </c>
      <c r="BQ169">
        <v>47.810258629190542</v>
      </c>
      <c r="BT169">
        <v>-1770616.080949164</v>
      </c>
      <c r="BU169">
        <v>-21218.50231879111</v>
      </c>
      <c r="BV169">
        <f>IF($Z$3="yes", 0.383808130541431/$X169, 0.383808130541431)</f>
        <v>8.946576469497225E-2</v>
      </c>
      <c r="BW169">
        <f>IF($Z$3="yes", 0.566527317302124/$X169, 0.566527317302124)</f>
        <v>0.13205764972077483</v>
      </c>
      <c r="BX169">
        <f>$BW$172 - $BV$172</f>
        <v>3.4427788150097532E-2</v>
      </c>
    </row>
    <row r="170" spans="1:95" ht="15.75" customHeight="1" thickBot="1" x14ac:dyDescent="0.3">
      <c r="A170" s="325" t="s">
        <v>876</v>
      </c>
      <c r="B170" s="36" t="s">
        <v>128</v>
      </c>
      <c r="C170" s="326">
        <v>0</v>
      </c>
      <c r="D170" s="31" t="s">
        <v>357</v>
      </c>
      <c r="E170" s="15"/>
      <c r="F170" s="24">
        <v>5.05</v>
      </c>
      <c r="G170" s="25">
        <v>44377</v>
      </c>
      <c r="H170" s="320">
        <v>3.76</v>
      </c>
      <c r="I170" s="320">
        <v>6.82</v>
      </c>
      <c r="J170" s="321">
        <v>44398</v>
      </c>
      <c r="K170" s="26">
        <f t="shared" si="10"/>
        <v>-0.25544554455445545</v>
      </c>
      <c r="L170" s="26">
        <f t="shared" si="11"/>
        <v>0.35049504950495058</v>
      </c>
      <c r="M170" s="322">
        <v>44407</v>
      </c>
      <c r="N170" s="54"/>
      <c r="O170" s="55">
        <v>7906476</v>
      </c>
      <c r="P170" s="55">
        <v>5600000</v>
      </c>
      <c r="Q170" s="55">
        <v>21</v>
      </c>
      <c r="R170" s="54" t="s">
        <v>147</v>
      </c>
      <c r="S170" s="55" t="s">
        <v>148</v>
      </c>
      <c r="T170" s="54" t="s">
        <v>242</v>
      </c>
      <c r="U170" s="54">
        <v>156</v>
      </c>
      <c r="V170" s="54">
        <v>85438</v>
      </c>
      <c r="W170" s="54"/>
      <c r="X170" s="54">
        <v>5.05</v>
      </c>
      <c r="Y170" s="54">
        <v>7.5278499999999973</v>
      </c>
      <c r="Z170" s="54">
        <v>8.7360849999999992</v>
      </c>
      <c r="AA170" s="54">
        <v>5.4726500000000016</v>
      </c>
      <c r="AB170" s="54">
        <v>6.0141100000000041</v>
      </c>
      <c r="AC170" s="54">
        <v>5.4362499999999994</v>
      </c>
      <c r="AD170" s="54">
        <v>5.3692857142857111</v>
      </c>
      <c r="AE170" s="54">
        <v>5.1749999999999989</v>
      </c>
      <c r="AF170" s="54">
        <f>IF($Z$3="yes", 0.00887409855246402/$X170, 0.00887409855246402)</f>
        <v>1.757247238111687E-3</v>
      </c>
      <c r="AG170" s="54">
        <f>IF($Z$3="yes", -0.128085589558955/$X170, -0.128085589558955)</f>
        <v>-2.5363483080981186E-2</v>
      </c>
      <c r="AH170" s="54">
        <f>IF($Z$3="yes", -0.0162263865546222/$X170, -0.0162263865546222)</f>
        <v>-3.213145852400436E-3</v>
      </c>
      <c r="AI170" s="54">
        <f>IF($Z$3="yes", -0.0572033853541427/$X170, -0.0572033853541427)</f>
        <v>-1.1327403040424297E-2</v>
      </c>
      <c r="AJ170" s="54">
        <f>IF($Z$3="yes", -0.0309586466165416/$X170, -0.0309586466165416)</f>
        <v>-6.1304250725824948E-3</v>
      </c>
      <c r="AK170" s="54">
        <f>IF($Z$3="yes", -0.0606373626373609/$X170, -0.0606373626373609)</f>
        <v>-1.2007398542051665E-2</v>
      </c>
      <c r="AL170" s="54">
        <f>IF($Z$3="yes", 0.0183333333333356/$X170, 0.0183333333333356)</f>
        <v>3.6303630363040793E-3</v>
      </c>
      <c r="AM170" s="54">
        <f>IF($Z$3="yes", 1.208235/$X170, 1.208235)</f>
        <v>0.23925445544554455</v>
      </c>
      <c r="AN170" s="54">
        <f>IF($Z$3="yes", 2.05519999999999/$X170, 2.05519999999999)</f>
        <v>0.406970297029701</v>
      </c>
      <c r="AO170" s="54">
        <f>IF($Z$3="yes", 1.51373999999999/$X170, 1.51373999999999)</f>
        <v>0.29975049504950302</v>
      </c>
      <c r="AP170" s="54">
        <f>IF($Z$3="yes", 2.09159999999999/$X170, 2.09159999999999)</f>
        <v>0.41417821782178021</v>
      </c>
      <c r="AQ170" s="54">
        <f>IF($Z$3="yes", 2.15856428571428/$X170, 2.15856428571428)</f>
        <v>0.42743847241866934</v>
      </c>
      <c r="AR170" s="54">
        <f>IF($Z$3="yes", 2.35284999999999/$X170, 2.35284999999999)</f>
        <v>0.46591089108910694</v>
      </c>
      <c r="AS170" s="54">
        <f>IF($Z$3="yes", 3.26343499999999/$X170, 3.26343499999999)</f>
        <v>0.64622475247524558</v>
      </c>
      <c r="AT170" s="54">
        <f>IF($Z$3="yes", 2.72197499999999/$X170, 2.72197499999999)</f>
        <v>0.53900495049504749</v>
      </c>
      <c r="AU170" s="56">
        <f>IF($Z$3="yes", 3.299835/$X170, 3.299835)</f>
        <v>0.65343267326732668</v>
      </c>
      <c r="AV170" s="56">
        <f>IF($Z$3="yes", 3.36679928571428/$X170, 3.36679928571428)</f>
        <v>0.66669292786421386</v>
      </c>
      <c r="AW170" s="56">
        <f>IF($Z$3="yes", 3.561085/$X170, 3.561085)</f>
        <v>0.70516534653465346</v>
      </c>
      <c r="AX170" s="56">
        <f>IF($Z$3="yes", 0.541460000000001/$X170, 0.541460000000001)</f>
        <v>0.10721980198019823</v>
      </c>
      <c r="AY170" s="56">
        <f>IF($Z$3="yes", 0.577860000000004/$X170, 0.577860000000004)</f>
        <v>0.11442772277227803</v>
      </c>
      <c r="AZ170" s="56">
        <f>IF($Z$3="yes", 0.644824285714293/$X170, 0.644824285714293)</f>
        <v>0.12768797736916693</v>
      </c>
      <c r="BA170" s="56">
        <f>IF($Z$3="yes", 0.839110000000005/$X170, 0.839110000000005)</f>
        <v>0.16616039603960495</v>
      </c>
      <c r="BB170" s="56">
        <f>IF($Z$3="yes", 0.0364000000000031/$X170, 0.0364000000000031)</f>
        <v>7.2079207920798215E-3</v>
      </c>
      <c r="BC170" s="56">
        <f>IF($Z$3="yes", 0.103364285714291/$X170, 0.103364285714291)</f>
        <v>2.0468175388968515E-2</v>
      </c>
      <c r="BD170" s="56">
        <f>IF($Z$3="yes", 0.297650000000003/$X170, 0.297650000000003)</f>
        <v>5.8940594059406541E-2</v>
      </c>
      <c r="BE170" s="56">
        <f>IF($Z$3="yes", 0.0669642857142882/$X170, 0.0669642857142882)</f>
        <v>1.3260254596888753E-2</v>
      </c>
      <c r="BF170" s="56">
        <f>IF($Z$3="yes", 0.26125/$X170, 0.26125)</f>
        <v>5.173267326732673E-2</v>
      </c>
      <c r="BG170" s="56">
        <f>IF($Z$3="yes", 0.194285714285712/$X170, 0.194285714285712)</f>
        <v>3.8472418670438026E-2</v>
      </c>
      <c r="BH170" s="56">
        <f>IF($Z$3="yes", 1.8303494217687/$X170, 1.8303494217687)</f>
        <v>0.36244543005320795</v>
      </c>
      <c r="BK170">
        <f>IF($BL$3="yes", MAX(0, (85438 - 94078) / 51863.1953932651), 94078)</f>
        <v>94078</v>
      </c>
      <c r="BL170">
        <f>IF($BL$3="yes", MAX(0, (85438 - 113323.3) / 104350.284064826), 113323.3)</f>
        <v>113323.3</v>
      </c>
      <c r="BM170">
        <f>IF($BL$3="yes", MAX(0, (85438 - 58933.75) / 91711.9322884841), 58933.75)</f>
        <v>58933.75</v>
      </c>
      <c r="BN170">
        <f>IF($BL$3="yes", MAX(0, (85438 - 403974.898666666) / 1311398.36357908), 403974.898666666)</f>
        <v>403974.89866666601</v>
      </c>
      <c r="BO170">
        <f>IF($BL$3="yes", MAX(0, (85438 - 649529.023333333) / 1363799.02900953), 649529.023333333)</f>
        <v>649529.02333333297</v>
      </c>
      <c r="BP170">
        <f>IF($BL$3="yes", MAX(0, (85438 - 563979.417666666) / 1154270.02956664), 563979.417666666)</f>
        <v>563979.41766666598</v>
      </c>
      <c r="BQ170">
        <v>45.433069224953989</v>
      </c>
      <c r="BT170">
        <v>-83106.884646933584</v>
      </c>
      <c r="BU170">
        <v>-10841.018082926619</v>
      </c>
      <c r="BV170">
        <f>IF($Z$3="yes", 0.293300436694177/$X170, 0.293300436694177)</f>
        <v>5.8079294394886537E-2</v>
      </c>
      <c r="BW170">
        <f>IF($Z$3="yes", 0.620700499231928/$X170, 0.620700499231928)</f>
        <v>0.12291098994691645</v>
      </c>
      <c r="BX170">
        <f>$BW$171 - $BV$171</f>
        <v>-9.2213963825459877E-3</v>
      </c>
    </row>
    <row r="171" spans="1:95" ht="15.75" customHeight="1" thickBot="1" x14ac:dyDescent="0.3">
      <c r="A171" s="325"/>
      <c r="B171" s="36" t="s">
        <v>128</v>
      </c>
      <c r="C171" s="326">
        <v>0</v>
      </c>
      <c r="D171" s="332" t="s">
        <v>241</v>
      </c>
      <c r="E171" s="334"/>
      <c r="F171" s="24">
        <v>5</v>
      </c>
      <c r="G171" s="25">
        <v>44377</v>
      </c>
      <c r="H171" s="320">
        <v>3.97</v>
      </c>
      <c r="I171" s="320">
        <v>6.25</v>
      </c>
      <c r="J171" s="321">
        <v>44386</v>
      </c>
      <c r="K171" s="26">
        <f t="shared" si="10"/>
        <v>-0.20599999999999996</v>
      </c>
      <c r="L171" s="26">
        <f t="shared" si="11"/>
        <v>0.25</v>
      </c>
      <c r="M171" s="322">
        <v>44407</v>
      </c>
      <c r="N171" s="54"/>
      <c r="O171" s="55">
        <v>10021568</v>
      </c>
      <c r="P171" s="55">
        <v>520000</v>
      </c>
      <c r="Q171" s="55">
        <v>9</v>
      </c>
      <c r="R171" s="54" t="s">
        <v>131</v>
      </c>
      <c r="S171" s="55" t="s">
        <v>148</v>
      </c>
      <c r="T171" s="54" t="s">
        <v>242</v>
      </c>
      <c r="U171" s="54">
        <v>2004</v>
      </c>
      <c r="V171" s="54">
        <v>2487387</v>
      </c>
      <c r="W171" s="54"/>
      <c r="X171" s="54">
        <v>5</v>
      </c>
      <c r="Y171" s="54">
        <v>7.0876055000000022</v>
      </c>
      <c r="Z171" s="54">
        <v>9.3320000000000043</v>
      </c>
      <c r="AA171" s="54">
        <v>8.2329999999999988</v>
      </c>
      <c r="AB171" s="54">
        <v>8.6459999999999955</v>
      </c>
      <c r="AC171" s="54">
        <v>7.911999999999999</v>
      </c>
      <c r="AD171" s="54">
        <v>7.0492857142857126</v>
      </c>
      <c r="AE171" s="54">
        <v>6.0675000000000026</v>
      </c>
      <c r="AF171" s="54">
        <f>IF($Z$3="yes", 0.0393146197404934/$X171, 0.0393146197404934)</f>
        <v>7.8629239480986803E-3</v>
      </c>
      <c r="AG171" s="54">
        <f>IF($Z$3="yes", -0.0518322232223222/$X171, -0.0518322232223222)</f>
        <v>-1.0366444644464439E-2</v>
      </c>
      <c r="AH171" s="54">
        <f>IF($Z$3="yes", -0.0192177671068421/$X171, -0.0192177671068421)</f>
        <v>-3.8435534213684202E-3</v>
      </c>
      <c r="AI171" s="54">
        <f>IF($Z$3="yes", 0.0471644657863158/$X171, 0.0471644657863158)</f>
        <v>9.4328931572631603E-3</v>
      </c>
      <c r="AJ171" s="54">
        <f>IF($Z$3="yes", -0.288751879699247/$X171, -0.288751879699247)</f>
        <v>-5.7750375939849399E-2</v>
      </c>
      <c r="AK171" s="54">
        <f>IF($Z$3="yes", -0.33602197802198/$X171, -0.33602197802198)</f>
        <v>-6.7204395604395992E-2</v>
      </c>
      <c r="AL171" s="54">
        <f>IF($Z$3="yes", -0.0845238095238185/$X171, -0.0845238095238185)</f>
        <v>-1.6904761904763699E-2</v>
      </c>
      <c r="AM171" s="54">
        <f>IF($Z$3="yes", 2.2443945/$X171, 2.2443945)</f>
        <v>0.44887889999999997</v>
      </c>
      <c r="AN171" s="54">
        <f>IF($Z$3="yes", 1.14539449999999/$X171, 1.14539449999999)</f>
        <v>0.22907889999999803</v>
      </c>
      <c r="AO171" s="54">
        <f>IF($Z$3="yes", 1.55839449999999/$X171, 1.55839449999999)</f>
        <v>0.31167889999999798</v>
      </c>
      <c r="AP171" s="54">
        <f>IF($Z$3="yes", 0.824394499999996/$X171, 0.824394499999996)</f>
        <v>0.16487889999999922</v>
      </c>
      <c r="AQ171" s="54">
        <f>IF($Z$3="yes", 0.0383197857142887/$X171, 0.0383197857142887)</f>
        <v>7.6639571428577403E-3</v>
      </c>
      <c r="AR171" s="54">
        <f>IF($Z$3="yes", 1.02010549999999/$X171, 1.02010549999999)</f>
        <v>0.20402109999999798</v>
      </c>
      <c r="AS171" s="54">
        <f>IF($Z$3="yes", 1.099/$X171, 1.099)</f>
        <v>0.2198</v>
      </c>
      <c r="AT171" s="54">
        <f>IF($Z$3="yes", 0.686000000000008/$X171, 0.686000000000008)</f>
        <v>0.1372000000000016</v>
      </c>
      <c r="AU171" s="56">
        <f>IF($Z$3="yes", 1.42/$X171, 1.42)</f>
        <v>0.28399999999999997</v>
      </c>
      <c r="AV171" s="56">
        <f>IF($Z$3="yes", 2.28271428571429/$X171, 2.28271428571429)</f>
        <v>0.45654285714285797</v>
      </c>
      <c r="AW171" s="56">
        <f>IF($Z$3="yes", 3.2645/$X171, 3.2645)</f>
        <v>0.65290000000000004</v>
      </c>
      <c r="AX171" s="56">
        <f>IF($Z$3="yes", 0.412999999999996/$X171, 0.412999999999996)</f>
        <v>8.2599999999999202E-2</v>
      </c>
      <c r="AY171" s="56">
        <f>IF($Z$3="yes", 0.733999999999996/$X171, 0.733999999999996)</f>
        <v>0.14679999999999921</v>
      </c>
      <c r="AZ171" s="56">
        <f>IF($Z$3="yes", 1.59671428571428/$X171, 1.59671428571428)</f>
        <v>0.31934285714285598</v>
      </c>
      <c r="BA171" s="56">
        <f>IF($Z$3="yes", 2.57849999999999/$X171, 2.57849999999999)</f>
        <v>0.51569999999999794</v>
      </c>
      <c r="BB171" s="56">
        <f>IF($Z$3="yes", 0.320999999999999/$X171, 0.320999999999999)</f>
        <v>6.4199999999999799E-2</v>
      </c>
      <c r="BC171" s="56">
        <f>IF($Z$3="yes", 1.18371428571428/$X171, 1.18371428571428)</f>
        <v>0.23674285714285598</v>
      </c>
      <c r="BD171" s="56">
        <f>IF($Z$3="yes", 2.16549999999999/$X171, 2.16549999999999)</f>
        <v>0.43309999999999799</v>
      </c>
      <c r="BE171" s="56">
        <f>IF($Z$3="yes", 0.862714285714285/$X171, 0.862714285714285)</f>
        <v>0.172542857142857</v>
      </c>
      <c r="BF171" s="56">
        <f>IF($Z$3="yes", 1.84449999999999/$X171, 1.84449999999999)</f>
        <v>0.36889999999999801</v>
      </c>
      <c r="BG171" s="56">
        <f>IF($Z$3="yes", 0.98178571428571/$X171, 0.98178571428571)</f>
        <v>0.19635714285714201</v>
      </c>
      <c r="BH171" s="56">
        <f>IF($Z$3="yes", 1.80912585034013/$X171, 1.80912585034013)</f>
        <v>0.361825170068026</v>
      </c>
      <c r="BK171">
        <f>IF($BL$3="yes", MAX(0, (2487387 - 10354602.8) / 12411019.1563202), 10354602.8)</f>
        <v>10354602.800000001</v>
      </c>
      <c r="BL171">
        <f>IF($BL$3="yes", MAX(0, (2487387 - 7455040.6) / 9302845.68462682), 7455040.6)</f>
        <v>7455040.5999999996</v>
      </c>
      <c r="BM171">
        <f>IF($BL$3="yes", MAX(0, (2487387 - 4273214.18333333) / 7537179.83398702), 4273214.18333333)</f>
        <v>4273214.1833333299</v>
      </c>
      <c r="BN171">
        <f>IF($BL$3="yes", MAX(0, (2487387 - 3161042.82666666) / 6252283.56452412), 3161042.82666666)</f>
        <v>3161042.8266666601</v>
      </c>
      <c r="BO171">
        <f>IF($BL$3="yes", MAX(0, (2487387 - 1764487.00999999) / 4649731.49108658), 1764487.00999999)</f>
        <v>1764487.00999999</v>
      </c>
      <c r="BP171">
        <f>IF($BL$3="yes", MAX(0, (2487387 - 2265693.78833333) / 12107397.3758583), 2265693.78833333)</f>
        <v>2265693.7883333298</v>
      </c>
      <c r="BQ171">
        <v>32.596535990168142</v>
      </c>
      <c r="BT171">
        <v>-6328909.141750847</v>
      </c>
      <c r="BU171">
        <v>1421561.714369504</v>
      </c>
      <c r="BV171">
        <f>IF($Z$3="yes", 1.4321491762431/$X171, 1.4321491762431)</f>
        <v>0.28642983524861998</v>
      </c>
      <c r="BW171">
        <f>IF($Z$3="yes", 1.38604219433037/$X171, 1.38604219433037)</f>
        <v>0.27720843886607399</v>
      </c>
      <c r="BX171">
        <f>$BW$170 - $BV$170</f>
        <v>6.4831695552029917E-2</v>
      </c>
    </row>
    <row r="172" spans="1:95" ht="15.75" customHeight="1" thickBot="1" x14ac:dyDescent="0.3">
      <c r="A172" s="28" t="s">
        <v>745</v>
      </c>
      <c r="B172" s="36" t="s">
        <v>128</v>
      </c>
      <c r="C172" s="53">
        <v>0</v>
      </c>
      <c r="D172" s="23" t="s">
        <v>616</v>
      </c>
      <c r="E172" s="15"/>
      <c r="F172" s="24">
        <v>1.56</v>
      </c>
      <c r="G172" s="25">
        <v>44377</v>
      </c>
      <c r="H172" s="320">
        <v>1.06</v>
      </c>
      <c r="I172" s="320">
        <v>1.6</v>
      </c>
      <c r="J172" s="321">
        <v>44378</v>
      </c>
      <c r="K172" s="26">
        <f t="shared" si="10"/>
        <v>-0.32051282051282048</v>
      </c>
      <c r="L172" s="26">
        <f t="shared" si="11"/>
        <v>2.5641025641025772E-2</v>
      </c>
      <c r="M172" s="322">
        <v>44407</v>
      </c>
      <c r="N172" s="54"/>
      <c r="O172" s="55">
        <v>21197290</v>
      </c>
      <c r="P172" s="55">
        <v>19510000</v>
      </c>
      <c r="Q172" s="55">
        <v>1</v>
      </c>
      <c r="R172" s="54" t="s">
        <v>131</v>
      </c>
      <c r="S172" s="55" t="s">
        <v>479</v>
      </c>
      <c r="T172" s="54" t="s">
        <v>154</v>
      </c>
      <c r="U172" s="54">
        <v>152</v>
      </c>
      <c r="V172" s="54">
        <v>962560</v>
      </c>
      <c r="W172" s="54"/>
      <c r="X172" s="54">
        <v>1.58</v>
      </c>
      <c r="Y172" s="54">
        <v>2.3184500000000008</v>
      </c>
      <c r="Z172" s="54">
        <v>2.0524000000000009</v>
      </c>
      <c r="AA172" s="54">
        <v>1.6649999999999989</v>
      </c>
      <c r="AB172" s="54">
        <v>1.787599999999999</v>
      </c>
      <c r="AC172" s="54">
        <v>1.5389999999999999</v>
      </c>
      <c r="AD172" s="54">
        <v>1.5478571428571419</v>
      </c>
      <c r="AE172" s="54">
        <v>1.54</v>
      </c>
      <c r="AF172" s="54">
        <f>IF($Z$3="yes", -0.00595217880447014/$X172, -0.00595217880447014)</f>
        <v>-3.767201774981101E-3</v>
      </c>
      <c r="AG172" s="54">
        <f>IF($Z$3="yes", -0.0152161416141614/$X172, -0.0152161416141614)</f>
        <v>-9.6304693760515189E-3</v>
      </c>
      <c r="AH172" s="54">
        <f>IF($Z$3="yes", -0.0111774309723888/$X172, -0.0111774309723888)</f>
        <v>-7.0743234002460754E-3</v>
      </c>
      <c r="AI172" s="54">
        <f>IF($Z$3="yes", -0.0171611044417759/$X172, -0.0171611044417759)</f>
        <v>-1.0861458507453101E-2</v>
      </c>
      <c r="AJ172" s="54">
        <f>IF($Z$3="yes", 0.00157894736842125/$X172, 0.00157894736842125)</f>
        <v>9.993337774818038E-4</v>
      </c>
      <c r="AK172" s="54">
        <f>IF($Z$3="yes", -0.00235164835164785/$X172, -0.00235164835164785)</f>
        <v>-1.4883850326885128E-3</v>
      </c>
      <c r="AL172" s="54">
        <f>IF($Z$3="yes", 0.00595238095238078/$X172, 0.00595238095238078)</f>
        <v>3.7673297166966962E-3</v>
      </c>
      <c r="AM172" s="54">
        <f>IF($Z$3="yes", 0.26605/$X172, 0.26605)</f>
        <v>0.16838607594936708</v>
      </c>
      <c r="AN172" s="54">
        <f>IF($Z$3="yes", 0.653450000000001/$X172, 0.653450000000001)</f>
        <v>0.41357594936708919</v>
      </c>
      <c r="AO172" s="54">
        <f>IF($Z$3="yes", 0.530850000000001/$X172, 0.530850000000001)</f>
        <v>0.3359810126582285</v>
      </c>
      <c r="AP172" s="54">
        <f>IF($Z$3="yes", 0.779450000000001/$X172, 0.779450000000001)</f>
        <v>0.4933227848101272</v>
      </c>
      <c r="AQ172" s="54">
        <f>IF($Z$3="yes", 0.770592857142858/$X172, 0.770592857142858)</f>
        <v>0.48771699819168224</v>
      </c>
      <c r="AR172" s="54">
        <f>IF($Z$3="yes", 0.778450000000001/$X172, 0.778450000000001)</f>
        <v>0.49268987341772214</v>
      </c>
      <c r="AS172" s="54">
        <f>IF($Z$3="yes", 0.387400000000001/$X172, 0.387400000000001)</f>
        <v>0.24518987341772217</v>
      </c>
      <c r="AT172" s="54">
        <f>IF($Z$3="yes", 0.264800000000001/$X172, 0.264800000000001)</f>
        <v>0.16759493670886136</v>
      </c>
      <c r="AU172" s="56">
        <f>IF($Z$3="yes", 0.513400000000001/$X172, 0.513400000000001)</f>
        <v>0.32493670886076009</v>
      </c>
      <c r="AV172" s="56">
        <f>IF($Z$3="yes", 0.504542857142858/$X172, 0.504542857142858)</f>
        <v>0.31933092224231513</v>
      </c>
      <c r="AW172" s="56">
        <f>IF($Z$3="yes", 0.512400000000001/$X172, 0.512400000000001)</f>
        <v>0.32430379746835503</v>
      </c>
      <c r="AX172" s="56">
        <f>IF($Z$3="yes", 0.1226/$X172, 0.1226)</f>
        <v>7.7594936708860751E-2</v>
      </c>
      <c r="AY172" s="56">
        <f>IF($Z$3="yes", 0.248599999999999/$X172, 0.248599999999999)</f>
        <v>0.1573417721518981</v>
      </c>
      <c r="AZ172" s="56">
        <f>IF($Z$3="yes", 0.239742857142857/$X172, 0.239742857142857)</f>
        <v>0.1517359855334538</v>
      </c>
      <c r="BA172" s="56">
        <f>IF($Z$3="yes", 0.247599999999999/$X172, 0.247599999999999)</f>
        <v>0.15670886075949303</v>
      </c>
      <c r="BB172" s="56">
        <f>IF($Z$3="yes", 0.125999999999999/$X172, 0.125999999999999)</f>
        <v>7.9746835443037345E-2</v>
      </c>
      <c r="BC172" s="56">
        <f>IF($Z$3="yes", 0.117142857142857/$X172, 0.117142857142857)</f>
        <v>7.4141048824593034E-2</v>
      </c>
      <c r="BD172" s="56">
        <f>IF($Z$3="yes", 0.124999999999999/$X172, 0.124999999999999)</f>
        <v>7.9113924050632278E-2</v>
      </c>
      <c r="BE172" s="56">
        <f>IF($Z$3="yes", 0.00885714285714245/$X172, 0.00885714285714245)</f>
        <v>5.6057866184445878E-3</v>
      </c>
      <c r="BF172" s="56">
        <f>IF($Z$3="yes", 0.000999999999999667/$X172, 0.000999999999999667)</f>
        <v>6.3291139240485243E-4</v>
      </c>
      <c r="BG172" s="56">
        <f>IF($Z$3="yes", 0.00785714285714278/$X172, 0.00785714285714278)</f>
        <v>4.9728752260397337E-3</v>
      </c>
      <c r="BH172" s="56">
        <f>IF($Z$3="yes", 0.446387755102041/$X172, 0.446387755102041)</f>
        <v>0.28252389563420316</v>
      </c>
      <c r="BK172">
        <f>IF($BL$3="yes", MAX(0, (962560 - 908052) / 693378.450682453), 908052)</f>
        <v>908052</v>
      </c>
      <c r="BL172">
        <f>IF($BL$3="yes", MAX(0, (962560 - 798736.7) / 526917.3968041), 798736.7)</f>
        <v>798736.7</v>
      </c>
      <c r="BM172">
        <f>IF($BL$3="yes", MAX(0, (962560 - 1352312.35) / 967921.564651768), 1352312.35)</f>
        <v>1352312.35</v>
      </c>
      <c r="BN172">
        <f>IF($BL$3="yes", MAX(0, (962560 - 1409947.74) / 2111564.62321453), 1409947.74)</f>
        <v>1409947.74</v>
      </c>
      <c r="BO172">
        <f>IF($BL$3="yes", MAX(0, (962560 - 1203154.57) / 1589147.97219831), 1203154.57)</f>
        <v>1203154.57</v>
      </c>
      <c r="BP172">
        <f>IF($BL$3="yes", MAX(0, (962560 - 997815.845) / 1238645.30028096), 997815.845)</f>
        <v>997815.84499999997</v>
      </c>
      <c r="BQ172">
        <v>56.479050475156122</v>
      </c>
      <c r="BT172">
        <v>857372.68965434353</v>
      </c>
      <c r="BU172">
        <v>-139301.4533645669</v>
      </c>
      <c r="BV172">
        <f>IF($Z$3="yes", 0.0877773375245519/$X172, 0.0877773375245519)</f>
        <v>5.5555276914273352E-2</v>
      </c>
      <c r="BW172">
        <f>IF($Z$3="yes", 0.142173242801706/$X172, 0.142173242801706)</f>
        <v>8.9983065064370885E-2</v>
      </c>
      <c r="BX172">
        <f>$BW$165 - $BV$165</f>
        <v>3.8254030750844076E-2</v>
      </c>
    </row>
    <row r="173" spans="1:95" ht="15.75" customHeight="1" thickBot="1" x14ac:dyDescent="0.3">
      <c r="A173" s="325" t="s">
        <v>876</v>
      </c>
      <c r="B173" s="36" t="s">
        <v>128</v>
      </c>
      <c r="C173" s="326">
        <v>0</v>
      </c>
      <c r="D173" s="23" t="s">
        <v>877</v>
      </c>
      <c r="E173" s="15"/>
      <c r="F173" s="24">
        <v>11.34</v>
      </c>
      <c r="G173" s="25">
        <v>44377</v>
      </c>
      <c r="H173" s="320">
        <v>10.52</v>
      </c>
      <c r="I173" s="320">
        <v>12.75</v>
      </c>
      <c r="J173" s="321">
        <v>44378</v>
      </c>
      <c r="K173" s="26">
        <f t="shared" si="10"/>
        <v>-7.2310405643739029E-2</v>
      </c>
      <c r="L173" s="26">
        <f t="shared" si="11"/>
        <v>0.12433862433862441</v>
      </c>
      <c r="M173" s="322">
        <v>44407</v>
      </c>
      <c r="N173" s="54"/>
      <c r="O173" s="55">
        <v>37092672</v>
      </c>
      <c r="P173" s="55">
        <v>14370000</v>
      </c>
      <c r="Q173" s="55">
        <v>1</v>
      </c>
      <c r="R173" s="54" t="s">
        <v>131</v>
      </c>
      <c r="S173" s="55" t="s">
        <v>148</v>
      </c>
      <c r="T173" s="54" t="s">
        <v>154</v>
      </c>
      <c r="U173" s="54">
        <v>104</v>
      </c>
      <c r="V173" s="54">
        <v>198961</v>
      </c>
      <c r="W173" s="54"/>
      <c r="X173" s="54">
        <v>11.34</v>
      </c>
      <c r="Y173" s="54" t="e">
        <v>#N/A</v>
      </c>
      <c r="Z173" s="54" t="e">
        <v>#N/A</v>
      </c>
      <c r="AA173" s="54">
        <v>10.461</v>
      </c>
      <c r="AB173" s="54">
        <v>9.7420000000000009</v>
      </c>
      <c r="AC173" s="54">
        <v>11.593</v>
      </c>
      <c r="AD173" s="54">
        <v>11.89642857142857</v>
      </c>
      <c r="AE173" s="54">
        <v>11.588749999999999</v>
      </c>
      <c r="AF173" s="54" t="e">
        <f>IF($Z$3="yes", #N/A/$X173, #N/A)</f>
        <v>#N/A</v>
      </c>
      <c r="AG173" s="54" t="e">
        <f>IF($Z$3="yes", #N/A/$X173, #N/A)</f>
        <v>#N/A</v>
      </c>
      <c r="AH173" s="54">
        <f>IF($Z$3="yes", 0.0631380552220886/$X173, 0.0631380552220886)</f>
        <v>5.5677297373975835E-3</v>
      </c>
      <c r="AI173" s="54">
        <f>IF($Z$3="yes", 0.0703654261704681/$X173, 0.0703654261704681)</f>
        <v>6.2050640361964822E-3</v>
      </c>
      <c r="AJ173" s="54">
        <f>IF($Z$3="yes", 0.0426466165413542/$X173, 0.0426466165413542)</f>
        <v>3.7607245627296476E-3</v>
      </c>
      <c r="AK173" s="54">
        <f>IF($Z$3="yes", -0.096901098901098/$X173, -0.096901098901098)</f>
        <v>-8.5450704498322757E-3</v>
      </c>
      <c r="AL173" s="54">
        <f>IF($Z$3="yes", -0.135119047619045/$X173, -0.135119047619045)</f>
        <v>-1.1915259931132717E-2</v>
      </c>
      <c r="AM173" s="54"/>
      <c r="AN173" s="54"/>
      <c r="AO173" s="54"/>
      <c r="AP173" s="54"/>
      <c r="AQ173" s="54"/>
      <c r="AR173" s="54"/>
      <c r="AS173" s="54"/>
      <c r="AT173" s="54"/>
      <c r="AU173" s="56"/>
      <c r="AV173" s="56"/>
      <c r="AW173" s="56"/>
      <c r="AX173" s="56">
        <f>IF($Z$3="yes", 0.719000000000001/$X173, 0.719000000000001)</f>
        <v>6.3403880070546828E-2</v>
      </c>
      <c r="AY173" s="56">
        <f>IF($Z$3="yes", 1.85099999999999/$X173, 1.85099999999999)</f>
        <v>0.16322751322751233</v>
      </c>
      <c r="AZ173" s="56">
        <f>IF($Z$3="yes", 2.15442857142856/$X173, 2.15442857142856)</f>
        <v>0.18998488284202467</v>
      </c>
      <c r="BA173" s="56">
        <f>IF($Z$3="yes", 1.84675/$X173, 1.84675)</f>
        <v>0.16285273368606701</v>
      </c>
      <c r="BB173" s="56">
        <f>IF($Z$3="yes", 1.13199999999999/$X173, 1.13199999999999)</f>
        <v>9.9823633156965602E-2</v>
      </c>
      <c r="BC173" s="56">
        <f>IF($Z$3="yes", 1.43542857142856/$X173, 1.43542857142856)</f>
        <v>0.12658100277147796</v>
      </c>
      <c r="BD173" s="56">
        <f>IF($Z$3="yes", 1.12775/$X173, 1.12775)</f>
        <v>9.9448853615520291E-2</v>
      </c>
      <c r="BE173" s="56">
        <f>IF($Z$3="yes", 0.303428571428568/$X173, 0.303428571428568)</f>
        <v>2.675736961451217E-2</v>
      </c>
      <c r="BF173" s="56">
        <f>IF($Z$3="yes", 0.00424999999999542/$X173, 0.00424999999999542)</f>
        <v>3.7477954144580421E-4</v>
      </c>
      <c r="BG173" s="56">
        <f>IF($Z$3="yes", 0.307678571428564/$X173, 0.307678571428564)</f>
        <v>2.7132149155958022E-2</v>
      </c>
      <c r="BH173" s="56">
        <f>IF($Z$3="yes", 1.63651870748299/$X173, 1.63651870748299)</f>
        <v>0.14431381900202736</v>
      </c>
      <c r="BK173">
        <f>IF($BL$3="yes", MAX(0, (198961 - 1094232.2) / 1742459.8129329), 1094232.2)</f>
        <v>1094232.2</v>
      </c>
      <c r="BL173">
        <f>IF($BL$3="yes", MAX(0, (198961 - 826867.3) / 1264743.27997329), 826867.3)</f>
        <v>826867.3</v>
      </c>
      <c r="BM173">
        <f>IF($BL$3="yes", MAX(0, (198961 - 580262.85) / 931665.745033554), 580262.85)</f>
        <v>580262.85</v>
      </c>
      <c r="BN173">
        <f>IF($BL$3="yes", MAX(0, (198961 - 447968.04) / 611055.223186872), 447968.04)</f>
        <v>447968.04</v>
      </c>
      <c r="BO173">
        <f>IF($BL$3="yes", MAX(0, (198961 - 415494.32183908) / 489746.66441418), 415494.32183908)</f>
        <v>415494.32183908002</v>
      </c>
      <c r="BP173">
        <f>IF($BL$3="yes", MAX(0, (198961 - 415494.32183908) / 489746.66441418), 415494.32183908)</f>
        <v>415494.32183908002</v>
      </c>
      <c r="BQ173">
        <v>56.584530155740786</v>
      </c>
      <c r="BT173">
        <v>-1119610.220354428</v>
      </c>
      <c r="BU173">
        <v>-153571.45973759191</v>
      </c>
      <c r="BV173">
        <f>IF($Z$3="yes", 0.892572145611424/$X173, 0.892572145611424)</f>
        <v>7.8710065750566494E-2</v>
      </c>
      <c r="BW173">
        <f>IF($Z$3="yes", 0.912759363235477/$X173, 0.912759363235477)</f>
        <v>8.0490243671558825E-2</v>
      </c>
      <c r="BX173">
        <f>$BW$173 - $BV$173</f>
        <v>1.7801779209923319E-3</v>
      </c>
    </row>
    <row r="174" spans="1:95" ht="15.75" customHeight="1" thickBot="1" x14ac:dyDescent="0.3">
      <c r="A174" s="28" t="s">
        <v>745</v>
      </c>
      <c r="B174" s="36" t="s">
        <v>128</v>
      </c>
      <c r="C174" s="53">
        <v>1</v>
      </c>
      <c r="D174" s="23" t="s">
        <v>463</v>
      </c>
      <c r="E174" s="334"/>
      <c r="F174" s="24">
        <v>1.73</v>
      </c>
      <c r="G174" s="25">
        <v>44377</v>
      </c>
      <c r="H174" s="320">
        <v>1.74</v>
      </c>
      <c r="I174" s="320">
        <v>2.68</v>
      </c>
      <c r="J174" s="321">
        <v>44392</v>
      </c>
      <c r="K174" s="26">
        <f t="shared" si="10"/>
        <v>5.7803468208093012E-3</v>
      </c>
      <c r="L174" s="26">
        <f t="shared" si="11"/>
        <v>0.54913294797687873</v>
      </c>
      <c r="M174" s="322">
        <v>44407</v>
      </c>
      <c r="N174" s="54"/>
      <c r="O174" s="55">
        <v>11155569</v>
      </c>
      <c r="P174" s="55">
        <v>13460000</v>
      </c>
      <c r="Q174" s="55">
        <v>15</v>
      </c>
      <c r="R174" s="54" t="s">
        <v>139</v>
      </c>
      <c r="S174" s="55" t="s">
        <v>148</v>
      </c>
      <c r="T174" s="54" t="s">
        <v>160</v>
      </c>
      <c r="U174" s="54">
        <v>72</v>
      </c>
      <c r="V174" s="54">
        <v>865368</v>
      </c>
      <c r="W174" s="54"/>
      <c r="X174" s="54">
        <v>1.75</v>
      </c>
      <c r="Y174" s="54">
        <v>2.0275210000000001</v>
      </c>
      <c r="Z174" s="54">
        <v>2.395150000000001</v>
      </c>
      <c r="AA174" s="54">
        <v>2.0244</v>
      </c>
      <c r="AB174" s="54">
        <v>2.293000000000001</v>
      </c>
      <c r="AC174" s="54">
        <v>1.804</v>
      </c>
      <c r="AD174" s="54">
        <v>1.753571428571429</v>
      </c>
      <c r="AE174" s="54">
        <v>1.6975</v>
      </c>
      <c r="AF174" s="54">
        <f>IF($Z$3="yes", 0.00506119072976826/$X174, 0.00506119072976826)</f>
        <v>2.8921089884390056E-3</v>
      </c>
      <c r="AG174" s="54">
        <f>IF($Z$3="yes", -0.00875196519651956/$X174, -0.00875196519651956)</f>
        <v>-5.0011229694397483E-3</v>
      </c>
      <c r="AH174" s="54">
        <f>IF($Z$3="yes", -0.0188917166866746/$X174, -0.0188917166866746)</f>
        <v>-1.079526667809977E-2</v>
      </c>
      <c r="AI174" s="54">
        <f>IF($Z$3="yes", -0.0303851140456188/$X174, -0.0303851140456188)</f>
        <v>-1.7362922311782172E-2</v>
      </c>
      <c r="AJ174" s="54">
        <f>IF($Z$3="yes", -0.0153684210526316/$X174, -0.0153684210526316)</f>
        <v>-8.7819548872180575E-3</v>
      </c>
      <c r="AK174" s="54">
        <f>IF($Z$3="yes", -0.0153626373626373/$X174, -0.0153626373626373)</f>
        <v>-8.7786499215070282E-3</v>
      </c>
      <c r="AL174" s="54">
        <f>IF($Z$3="yes", 0.0152380952380966/$X174, 0.0152380952380966)</f>
        <v>8.7074829931980575E-3</v>
      </c>
      <c r="AM174" s="54">
        <f>IF($Z$3="yes", 0.367629/$X174, 0.367629)</f>
        <v>0.21007371428571428</v>
      </c>
      <c r="AN174" s="54">
        <f>IF($Z$3="yes", 0.00312099999999926/$X174, 0.00312099999999926)</f>
        <v>1.7834285714281486E-3</v>
      </c>
      <c r="AO174" s="54">
        <f>IF($Z$3="yes", 0.265479000000001/$X174, 0.265479000000001)</f>
        <v>0.15170228571428629</v>
      </c>
      <c r="AP174" s="54">
        <f>IF($Z$3="yes", 0.223521/$X174, 0.223521)</f>
        <v>0.12772628571428571</v>
      </c>
      <c r="AQ174" s="54">
        <f>IF($Z$3="yes", 0.273949571428571/$X174, 0.273949571428571)</f>
        <v>0.15654261224489771</v>
      </c>
      <c r="AR174" s="54">
        <f>IF($Z$3="yes", 0.330020999999999/$X174, 0.330020999999999)</f>
        <v>0.18858342857142801</v>
      </c>
      <c r="AS174" s="54">
        <f>IF($Z$3="yes", 0.37075/$X174, 0.37075)</f>
        <v>0.21185714285714288</v>
      </c>
      <c r="AT174" s="54">
        <f>IF($Z$3="yes", 0.102149999999999/$X174, 0.102149999999999)</f>
        <v>5.8371428571428005E-2</v>
      </c>
      <c r="AU174" s="56">
        <f>IF($Z$3="yes", 0.591150000000001/$X174, 0.591150000000001)</f>
        <v>0.33780000000000054</v>
      </c>
      <c r="AV174" s="56">
        <f>IF($Z$3="yes", 0.641578571428572/$X174, 0.641578571428572)</f>
        <v>0.36661632653061255</v>
      </c>
      <c r="AW174" s="56">
        <f>IF($Z$3="yes", 0.69765/$X174, 0.69765)</f>
        <v>0.39865714285714288</v>
      </c>
      <c r="AX174" s="56">
        <f>IF($Z$3="yes", 0.268600000000001/$X174, 0.268600000000001)</f>
        <v>0.15348571428571486</v>
      </c>
      <c r="AY174" s="56">
        <f>IF($Z$3="yes", 0.489000000000001/$X174, 0.489000000000001)</f>
        <v>0.27942857142857197</v>
      </c>
      <c r="AZ174" s="56">
        <f>IF($Z$3="yes", 0.539428571428572/$X174, 0.539428571428572)</f>
        <v>0.30824489795918403</v>
      </c>
      <c r="BA174" s="56">
        <f>IF($Z$3="yes", 0.595500000000001/$X174, 0.595500000000001)</f>
        <v>0.34028571428571486</v>
      </c>
      <c r="BB174" s="56">
        <f>IF($Z$3="yes", 0.2204/$X174, 0.2204)</f>
        <v>0.12594285714285716</v>
      </c>
      <c r="BC174" s="56">
        <f>IF($Z$3="yes", 0.270828571428571/$X174, 0.270828571428571)</f>
        <v>0.15475918367346914</v>
      </c>
      <c r="BD174" s="56">
        <f>IF($Z$3="yes", 0.3269/$X174, 0.3269)</f>
        <v>0.18680000000000002</v>
      </c>
      <c r="BE174" s="56">
        <f>IF($Z$3="yes", 0.050428571428571/$X174, 0.050428571428571)</f>
        <v>2.8816326530611999E-2</v>
      </c>
      <c r="BF174" s="56">
        <f>IF($Z$3="yes", 0.106499999999999/$X174, 0.106499999999999)</f>
        <v>6.0857142857142284E-2</v>
      </c>
      <c r="BG174" s="56">
        <f>IF($Z$3="yes", 0.0560714285714285/$X174, 0.0560714285714285)</f>
        <v>3.2040816326530573E-2</v>
      </c>
      <c r="BH174" s="56">
        <f>IF($Z$3="yes", 0.470046557823129/$X174, 0.470046557823129)</f>
        <v>0.26859803304178798</v>
      </c>
      <c r="BK174">
        <f>IF($BL$3="yes", MAX(0, (865368 - 709238) / 222941.858455517), 709238)</f>
        <v>709238</v>
      </c>
      <c r="BL174">
        <f>IF($BL$3="yes", MAX(0, (865368 - 809038.6) / 252115.055248273), 809038.6)</f>
        <v>809038.6</v>
      </c>
      <c r="BM174">
        <f>IF($BL$3="yes", MAX(0, (865368 - 1428811.7) / 1096278.07623239), 1428811.7)</f>
        <v>1428811.7</v>
      </c>
      <c r="BN174">
        <f>IF($BL$3="yes", MAX(0, (865368 - 1801132.34) / 1559474.5660389), 1801132.34)</f>
        <v>1801132.34</v>
      </c>
      <c r="BO174">
        <f>IF($BL$3="yes", MAX(0, (865368 - 7258389.2) / 22792354.7303732), 7258389.2)</f>
        <v>7258389.2000000002</v>
      </c>
      <c r="BP174">
        <f>IF($BL$3="yes", MAX(0, (865368 - 3862030.47) / 16530088.8096668), 3862030.47)</f>
        <v>3862030.47</v>
      </c>
      <c r="BQ174">
        <v>34.745699486092732</v>
      </c>
      <c r="BT174">
        <v>-3385159.429052168</v>
      </c>
      <c r="BU174">
        <v>350414.48597067321</v>
      </c>
      <c r="BV174">
        <f>IF($Z$3="yes", 0.148010236988435/$X174, 0.148010236988435)</f>
        <v>8.4577278279105703E-2</v>
      </c>
      <c r="BW174">
        <f>IF($Z$3="yes", 0.303974127559547/$X174, 0.303974127559547)</f>
        <v>0.1736995014625983</v>
      </c>
      <c r="BX174">
        <f>$BW$168 - $BV$168</f>
        <v>3.0498123239491401E-2</v>
      </c>
    </row>
    <row r="175" spans="1:95" ht="15.75" customHeight="1" thickBot="1" x14ac:dyDescent="0.3">
      <c r="A175" s="57"/>
      <c r="B175" s="36" t="s">
        <v>128</v>
      </c>
      <c r="C175" s="53">
        <v>3</v>
      </c>
      <c r="D175" s="23" t="s">
        <v>303</v>
      </c>
      <c r="E175" s="15"/>
      <c r="F175" s="24">
        <v>1.27</v>
      </c>
      <c r="G175" s="25">
        <v>44376</v>
      </c>
      <c r="H175" s="320">
        <v>1.22</v>
      </c>
      <c r="I175" s="320">
        <v>1.44</v>
      </c>
      <c r="J175" s="321">
        <v>44383</v>
      </c>
      <c r="K175" s="26">
        <f t="shared" si="10"/>
        <v>-3.9370078740157521E-2</v>
      </c>
      <c r="L175" s="26">
        <f t="shared" si="11"/>
        <v>0.13385826771653542</v>
      </c>
      <c r="M175" s="322">
        <v>44407</v>
      </c>
      <c r="N175" s="54"/>
      <c r="O175" s="55">
        <v>32037547</v>
      </c>
      <c r="P175" s="55">
        <v>24970000</v>
      </c>
      <c r="Q175" s="55">
        <v>7</v>
      </c>
      <c r="R175" s="54" t="s">
        <v>131</v>
      </c>
      <c r="S175" s="55" t="s">
        <v>148</v>
      </c>
      <c r="T175" s="54" t="s">
        <v>304</v>
      </c>
      <c r="U175" s="54">
        <v>100</v>
      </c>
      <c r="V175" s="54">
        <v>396011</v>
      </c>
      <c r="W175" s="54"/>
      <c r="X175" s="54">
        <v>1.32</v>
      </c>
      <c r="Y175" s="54">
        <v>1.316123999999999</v>
      </c>
      <c r="Z175" s="54">
        <v>1.402175999999999</v>
      </c>
      <c r="AA175" s="54">
        <v>1.2389520000000001</v>
      </c>
      <c r="AB175" s="54">
        <v>1.259352</v>
      </c>
      <c r="AC175" s="54">
        <v>1.2364999999999999</v>
      </c>
      <c r="AD175" s="54">
        <v>1.232142857142857</v>
      </c>
      <c r="AE175" s="54">
        <v>1.2337499999999999</v>
      </c>
      <c r="AF175" s="54">
        <f>IF($Z$3="yes", 0.000994464711617835/$X175, 0.000994464711617835)</f>
        <v>7.533823572862386E-4</v>
      </c>
      <c r="AG175" s="54">
        <f>IF($Z$3="yes", -0.00670046204620452/$X175, -0.00670046204620452)</f>
        <v>-5.0761076107609998E-3</v>
      </c>
      <c r="AH175" s="54">
        <f>IF($Z$3="yes", -0.000951836734693827/$X175, -0.000951836734693827)</f>
        <v>-7.2108843537411137E-4</v>
      </c>
      <c r="AI175" s="54">
        <f>IF($Z$3="yes", -0.00277118847538973/$X175, -0.00277118847538973)</f>
        <v>-2.0993852086285832E-3</v>
      </c>
      <c r="AJ175" s="54">
        <f>IF($Z$3="yes", -0.0000827067669173889/$X175, -0.0000827067669173889)</f>
        <v>-6.2656641604082503E-5</v>
      </c>
      <c r="AK175" s="54">
        <f>IF($Z$3="yes", 0.00226373626373606/$X175, 0.00226373626373606)</f>
        <v>1.7149517149515606E-3</v>
      </c>
      <c r="AL175" s="54">
        <f>IF($Z$3="yes", 0.0151190476190479/$X175, 0.0151190476190479)</f>
        <v>1.1453823953824166E-2</v>
      </c>
      <c r="AM175" s="54">
        <f>IF($Z$3="yes", 0.086052/$X175, 0.086052)</f>
        <v>6.5190909090909091E-2</v>
      </c>
      <c r="AN175" s="54">
        <f>IF($Z$3="yes", 0.0771719999999986/$X175, 0.0771719999999986)</f>
        <v>5.8463636363635302E-2</v>
      </c>
      <c r="AO175" s="54">
        <f>IF($Z$3="yes", 0.0567719999999993/$X175, 0.0567719999999993)</f>
        <v>4.3009090909090379E-2</v>
      </c>
      <c r="AP175" s="54">
        <f>IF($Z$3="yes", 0.0796239999999988/$X175, 0.0796239999999988)</f>
        <v>6.0321212121211214E-2</v>
      </c>
      <c r="AQ175" s="54">
        <f>IF($Z$3="yes", 0.0839811428571419/$X175, 0.0839811428571419)</f>
        <v>6.3622077922077191E-2</v>
      </c>
      <c r="AR175" s="54">
        <f>IF($Z$3="yes", 0.082373999999999/$X175, 0.082373999999999)</f>
        <v>6.2404545454544699E-2</v>
      </c>
      <c r="AS175" s="54">
        <f>IF($Z$3="yes", 0.163223999999998/$X175, 0.163223999999998)</f>
        <v>0.12365454545454393</v>
      </c>
      <c r="AT175" s="54">
        <f>IF($Z$3="yes", 0.142823999999999/$X175, 0.142823999999999)</f>
        <v>0.10819999999999924</v>
      </c>
      <c r="AU175" s="56">
        <f>IF($Z$3="yes", 0.165675999999998/$X175, 0.165675999999998)</f>
        <v>0.12551212121211969</v>
      </c>
      <c r="AV175" s="56">
        <f>IF($Z$3="yes", 0.170033142857142/$X175, 0.170033142857142)</f>
        <v>0.12881298701298635</v>
      </c>
      <c r="AW175" s="56">
        <f>IF($Z$3="yes", 0.168425999999999/$X175, 0.168425999999999)</f>
        <v>0.12759545454545379</v>
      </c>
      <c r="AX175" s="56">
        <f>IF($Z$3="yes", 0.0203999999999993/$X175, 0.0203999999999993)</f>
        <v>1.5454545454544924E-2</v>
      </c>
      <c r="AY175" s="56">
        <f>IF($Z$3="yes", 0.0228519999999994/$X175, 0.0228519999999994)</f>
        <v>1.7312121212120758E-2</v>
      </c>
      <c r="AZ175" s="56">
        <f>IF($Z$3="yes", 0.0272091428571426/$X175, 0.0272091428571426)</f>
        <v>2.0612987012986816E-2</v>
      </c>
      <c r="BA175" s="56">
        <f>IF($Z$3="yes", 0.0256019999999996/$X175, 0.0256019999999996)</f>
        <v>1.9395454545454244E-2</v>
      </c>
      <c r="BB175" s="56">
        <f>IF($Z$3="yes", 0.00245200000000012/$X175, 0.00245200000000012)</f>
        <v>1.8575757575758484E-3</v>
      </c>
      <c r="BC175" s="56">
        <f>IF($Z$3="yes", 0.00680914285714329/$X175, 0.00680914285714329)</f>
        <v>5.1584415584418862E-3</v>
      </c>
      <c r="BD175" s="56">
        <f>IF($Z$3="yes", 0.00520200000000037/$X175, 0.00520200000000037)</f>
        <v>3.9409090909093714E-3</v>
      </c>
      <c r="BE175" s="56">
        <f>IF($Z$3="yes", 0.00435714285714317/$X175, 0.00435714285714317)</f>
        <v>3.300865800866038E-3</v>
      </c>
      <c r="BF175" s="56">
        <f>IF($Z$3="yes", 0.00275000000000025/$X175, 0.00275000000000025)</f>
        <v>2.0833333333335228E-3</v>
      </c>
      <c r="BG175" s="56">
        <f>IF($Z$3="yes", 0.00160714285714291/$X175, 0.00160714285714291)</f>
        <v>1.2175324675325076E-3</v>
      </c>
      <c r="BH175" s="56">
        <f>IF($Z$3="yes", 0.176098462585033/$X175, 0.176098462585033)</f>
        <v>0.13340792620078257</v>
      </c>
      <c r="BK175">
        <f>IF($BL$3="yes", MAX(0, (396011 - 194534) / 110464.540373823), 194534)</f>
        <v>194534</v>
      </c>
      <c r="BL175">
        <f>IF($BL$3="yes", MAX(0, (396011 - 151171.5) / 92674.7299799141), 151171.5)</f>
        <v>151171.5</v>
      </c>
      <c r="BM175">
        <f>IF($BL$3="yes", MAX(0, (396011 - 139848.15) / 80794.8319110046), 139848.15)</f>
        <v>139848.15</v>
      </c>
      <c r="BN175">
        <f>IF($BL$3="yes", MAX(0, (396011 - 185046.14) / 106180.548202391), 185046.14)</f>
        <v>185046.14</v>
      </c>
      <c r="BO175">
        <f>IF($BL$3="yes", MAX(0, (396011 - 673567.47) / 1924698.26006776), 673567.47)</f>
        <v>673567.47</v>
      </c>
      <c r="BP175">
        <f>IF($BL$3="yes", MAX(0, (396011 - 649198.39) / 1985326.51169723), 649198.39)</f>
        <v>649198.39</v>
      </c>
      <c r="BQ175">
        <v>62.291783682322453</v>
      </c>
      <c r="BT175">
        <v>160875.02562844881</v>
      </c>
      <c r="BU175">
        <v>216417.1069607914</v>
      </c>
      <c r="BV175">
        <f>IF($Z$3="yes", 0.0631733924151065/$X175, 0.0631733924151065)</f>
        <v>4.7858630617504921E-2</v>
      </c>
      <c r="BW175">
        <f>IF($Z$3="yes", 0.0856330986318277/$X175, 0.0856330986318277)</f>
        <v>6.4873559569566447E-2</v>
      </c>
      <c r="BX175">
        <f>$BW$175 - $BV$175</f>
        <v>1.7014928952061525E-2</v>
      </c>
    </row>
    <row r="176" spans="1:95" ht="15.75" customHeight="1" thickBot="1" x14ac:dyDescent="0.3">
      <c r="A176" s="57"/>
      <c r="B176" s="36" t="s">
        <v>128</v>
      </c>
      <c r="C176" s="53">
        <v>0</v>
      </c>
      <c r="D176" s="332" t="s">
        <v>470</v>
      </c>
      <c r="E176" s="15"/>
      <c r="F176" s="24">
        <v>3.27</v>
      </c>
      <c r="G176" s="25">
        <v>44376</v>
      </c>
      <c r="H176" s="320">
        <v>2.98</v>
      </c>
      <c r="I176" s="320">
        <v>3.54</v>
      </c>
      <c r="J176" s="321">
        <v>44378</v>
      </c>
      <c r="K176" s="26">
        <f t="shared" si="10"/>
        <v>-8.8685015290519864E-2</v>
      </c>
      <c r="L176" s="26">
        <f t="shared" si="11"/>
        <v>8.256880733944949E-2</v>
      </c>
      <c r="M176" s="322">
        <v>44407</v>
      </c>
      <c r="N176" s="54"/>
      <c r="O176" s="55">
        <v>14890094</v>
      </c>
      <c r="P176" s="55">
        <v>11450000</v>
      </c>
      <c r="Q176" s="55">
        <v>2</v>
      </c>
      <c r="R176" s="54" t="s">
        <v>131</v>
      </c>
      <c r="S176" s="55" t="s">
        <v>188</v>
      </c>
      <c r="T176" s="54" t="s">
        <v>339</v>
      </c>
      <c r="U176" s="54">
        <v>260</v>
      </c>
      <c r="V176" s="54">
        <v>316760</v>
      </c>
      <c r="W176" s="54"/>
      <c r="X176" s="54">
        <v>3.29</v>
      </c>
      <c r="Y176" s="54">
        <v>3.9366115000000019</v>
      </c>
      <c r="Z176" s="54">
        <v>3.3031999999999999</v>
      </c>
      <c r="AA176" s="54">
        <v>3.2862</v>
      </c>
      <c r="AB176" s="54">
        <v>3.2666000000000008</v>
      </c>
      <c r="AC176" s="54">
        <v>3.3610000000000011</v>
      </c>
      <c r="AD176" s="54">
        <v>3.3250000000000002</v>
      </c>
      <c r="AE176" s="54">
        <v>3.2962500000000001</v>
      </c>
      <c r="AF176" s="54">
        <f>IF($Z$3="yes", -0.0121825274881873/$X176, -0.0121825274881873)</f>
        <v>-3.7028958930660485E-3</v>
      </c>
      <c r="AG176" s="54">
        <f>IF($Z$3="yes", -0.00144866486648664/$X176, -0.00144866486648664)</f>
        <v>-4.403236676251185E-4</v>
      </c>
      <c r="AH176" s="54">
        <f>IF($Z$3="yes", 0.00186842737094843/$X176, 0.00186842737094843)</f>
        <v>5.6791105499952278E-4</v>
      </c>
      <c r="AI176" s="54">
        <f>IF($Z$3="yes", 0.00313613445378134/$X176, 0.00313613445378134)</f>
        <v>9.5323235677244366E-4</v>
      </c>
      <c r="AJ176" s="54">
        <f>IF($Z$3="yes", -0.00876691729323324/$X176, -0.00876691729323324)</f>
        <v>-2.6647165025025046E-3</v>
      </c>
      <c r="AK176" s="54">
        <f>IF($Z$3="yes", -0.00696703296703341/$X176, -0.00696703296703341)</f>
        <v>-2.1176391997062036E-3</v>
      </c>
      <c r="AL176" s="54">
        <f>IF($Z$3="yes", 0.0248809523809527/$X176, 0.0248809523809527)</f>
        <v>7.5625995078883587E-3</v>
      </c>
      <c r="AM176" s="54">
        <f>IF($Z$3="yes", 0.633411500000002/$X176, 0.633411500000002)</f>
        <v>0.19252629179331368</v>
      </c>
      <c r="AN176" s="54">
        <f>IF($Z$3="yes", 0.650411500000001/$X176, 0.650411500000001)</f>
        <v>0.19769346504559301</v>
      </c>
      <c r="AO176" s="54">
        <f>IF($Z$3="yes", 0.6700115/$X176, 0.6700115)</f>
        <v>0.20365091185410333</v>
      </c>
      <c r="AP176" s="54">
        <f>IF($Z$3="yes", 0.575611500000001/$X176, 0.575611500000001)</f>
        <v>0.17495790273556264</v>
      </c>
      <c r="AQ176" s="54">
        <f>IF($Z$3="yes", 0.611611500000001/$X176, 0.611611500000001)</f>
        <v>0.18590015197568419</v>
      </c>
      <c r="AR176" s="54">
        <f>IF($Z$3="yes", 0.640361500000002/$X176, 0.640361500000002)</f>
        <v>0.19463875379939272</v>
      </c>
      <c r="AS176" s="54">
        <f>IF($Z$3="yes", 0.0169999999999999/$X176, 0.0169999999999999)</f>
        <v>5.1671732522796049E-3</v>
      </c>
      <c r="AT176" s="54">
        <f>IF($Z$3="yes", 0.0365999999999986/$X176, 0.0365999999999986)</f>
        <v>1.1124620060789847E-2</v>
      </c>
      <c r="AU176" s="56">
        <f>IF($Z$3="yes", 0.0578000000000007/$X176, 0.0578000000000007)</f>
        <v>1.7568389057750971E-2</v>
      </c>
      <c r="AV176" s="56">
        <f>IF($Z$3="yes", 0.0218000000000002/$X176, 0.0218000000000002)</f>
        <v>6.62613981762924E-3</v>
      </c>
      <c r="AW176" s="56">
        <f>IF($Z$3="yes", 0.00695000000000023/$X176, 0.00695000000000023)</f>
        <v>2.1124620060790971E-3</v>
      </c>
      <c r="AX176" s="56">
        <f>IF($Z$3="yes", 0.0195999999999987/$X176, 0.0195999999999987)</f>
        <v>5.9574468085102422E-3</v>
      </c>
      <c r="AY176" s="56">
        <f>IF($Z$3="yes", 0.0943999999999993/$X176, 0.0943999999999993)</f>
        <v>2.8693009118540821E-2</v>
      </c>
      <c r="AZ176" s="56">
        <f>IF($Z$3="yes", 0.0583999999999989/$X176, 0.0583999999999989)</f>
        <v>1.7750759878419117E-2</v>
      </c>
      <c r="BA176" s="56">
        <f>IF($Z$3="yes", 0.0296499999999984/$X176, 0.0296499999999984)</f>
        <v>9.0121580547107595E-3</v>
      </c>
      <c r="BB176" s="56">
        <f>IF($Z$3="yes", 0.0748000000000006/$X176, 0.0748000000000006)</f>
        <v>2.2735562310030578E-2</v>
      </c>
      <c r="BC176" s="56">
        <f>IF($Z$3="yes", 0.0388000000000001/$X176, 0.0388000000000001)</f>
        <v>1.1793313069908844E-2</v>
      </c>
      <c r="BD176" s="56">
        <f>IF($Z$3="yes", 0.0100499999999996/$X176, 0.0100499999999996)</f>
        <v>3.0547112462004861E-3</v>
      </c>
      <c r="BE176" s="56">
        <f>IF($Z$3="yes", 0.0360000000000004/$X176, 0.0360000000000004)</f>
        <v>1.0942249240121701E-2</v>
      </c>
      <c r="BF176" s="56">
        <f>IF($Z$3="yes", 0.0647500000000009/$X176, 0.0647500000000009)</f>
        <v>1.9680851063830062E-2</v>
      </c>
      <c r="BG176" s="56">
        <f>IF($Z$3="yes", 0.0287500000000004/$X176, 0.0287500000000004)</f>
        <v>8.7386018237083276E-3</v>
      </c>
      <c r="BH176" s="56">
        <f>IF($Z$3="yes", 0.462580761904762/$X176, 0.462580761904762)</f>
        <v>0.1406020552902012</v>
      </c>
      <c r="BK176">
        <f>IF($BL$3="yes", MAX(0, (316760 - 315624.2) / 140086.642028995), 315624.2)</f>
        <v>315624.2</v>
      </c>
      <c r="BL176">
        <f>IF($BL$3="yes", MAX(0, (316760 - 240823.6) / 139732.216892311), 240823.6)</f>
        <v>240823.6</v>
      </c>
      <c r="BM176">
        <f>IF($BL$3="yes", MAX(0, (316760 - 427814.95) / 316527.761924838), 427814.95)</f>
        <v>427814.95</v>
      </c>
      <c r="BN176">
        <f>IF($BL$3="yes", MAX(0, (316760 - 509958.04) / 478854.248084235), 509958.04)</f>
        <v>509958.04</v>
      </c>
      <c r="BO176">
        <f>IF($BL$3="yes", MAX(0, (316760 - 702987.55) / 724442.330132459), 702987.55)</f>
        <v>702987.55</v>
      </c>
      <c r="BP176">
        <f>IF($BL$3="yes", MAX(0, (316760 - 526738.655) / 740707.308603706), 526738.655)</f>
        <v>526738.65500000003</v>
      </c>
      <c r="BQ176">
        <v>47.862346475872762</v>
      </c>
      <c r="BT176">
        <v>1357330.9244568569</v>
      </c>
      <c r="BU176">
        <v>42535.668741363799</v>
      </c>
      <c r="BV176">
        <f>IF($Z$3="yes", 0.16114593075227/$X176, 0.16114593075227)</f>
        <v>4.8980526064519754E-2</v>
      </c>
      <c r="BW176">
        <f>IF($Z$3="yes", 0.201917335157931/$X176, 0.201917335157931)</f>
        <v>6.1373050199979025E-2</v>
      </c>
      <c r="BX176">
        <f>$BW$177 - $BV$177</f>
        <v>2.5924887233648664E-2</v>
      </c>
    </row>
    <row r="177" spans="1:95" ht="15.75" customHeight="1" thickBot="1" x14ac:dyDescent="0.3">
      <c r="A177" s="57"/>
      <c r="B177" s="36" t="s">
        <v>128</v>
      </c>
      <c r="C177" s="53">
        <v>2</v>
      </c>
      <c r="D177" s="31" t="s">
        <v>822</v>
      </c>
      <c r="E177" s="15"/>
      <c r="F177" s="24">
        <v>8.6</v>
      </c>
      <c r="G177" s="25">
        <v>44376</v>
      </c>
      <c r="H177" s="320">
        <v>6.1</v>
      </c>
      <c r="I177" s="320">
        <v>10.3</v>
      </c>
      <c r="J177" s="321">
        <v>44391</v>
      </c>
      <c r="K177" s="26">
        <f t="shared" si="10"/>
        <v>-0.29069767441860461</v>
      </c>
      <c r="L177" s="26">
        <f t="shared" si="11"/>
        <v>0.19767441860465129</v>
      </c>
      <c r="M177" s="322">
        <v>44407</v>
      </c>
      <c r="N177" s="54"/>
      <c r="O177" s="55">
        <v>4381033</v>
      </c>
      <c r="P177" s="55">
        <v>1180000</v>
      </c>
      <c r="Q177" s="55">
        <v>15</v>
      </c>
      <c r="R177" s="54" t="s">
        <v>152</v>
      </c>
      <c r="S177" s="55" t="s">
        <v>132</v>
      </c>
      <c r="T177" s="54" t="s">
        <v>214</v>
      </c>
      <c r="U177" s="54">
        <v>232</v>
      </c>
      <c r="V177" s="54">
        <v>405652</v>
      </c>
      <c r="W177" s="54"/>
      <c r="X177" s="54">
        <v>8.61</v>
      </c>
      <c r="Y177" s="54">
        <v>5.6446425000000042</v>
      </c>
      <c r="Z177" s="54">
        <v>7.1121500000000006</v>
      </c>
      <c r="AA177" s="54">
        <v>7.3981000000000003</v>
      </c>
      <c r="AB177" s="54">
        <v>7.5502999999999973</v>
      </c>
      <c r="AC177" s="54">
        <v>7.8150000000000013</v>
      </c>
      <c r="AD177" s="54">
        <v>8.0435714285714273</v>
      </c>
      <c r="AE177" s="54">
        <v>8.3250000000000011</v>
      </c>
      <c r="AF177" s="54">
        <f>IF($Z$3="yes", 0.0264854939623488/$X177, 0.0264854939623488)</f>
        <v>3.0761317029441115E-3</v>
      </c>
      <c r="AG177" s="54">
        <f>IF($Z$3="yes", 0.0206160516051604/$X177, 0.0206160516051604)</f>
        <v>2.3944310807387228E-3</v>
      </c>
      <c r="AH177" s="54">
        <f>IF($Z$3="yes", 0.0178480192076829/$X177, 0.0178480192076829)</f>
        <v>2.0729406745276305E-3</v>
      </c>
      <c r="AI177" s="54">
        <f>IF($Z$3="yes", -0.035620888355341/$X177, -0.035620888355341)</f>
        <v>-4.1371531190872246E-3</v>
      </c>
      <c r="AJ177" s="54">
        <f>IF($Z$3="yes", 0.0790075187969926/$X177, 0.0790075187969926)</f>
        <v>9.1762507313580249E-3</v>
      </c>
      <c r="AK177" s="54">
        <f>IF($Z$3="yes", 0.0801098901098911/$X177, 0.0801098901098911)</f>
        <v>9.3042845656087225E-3</v>
      </c>
      <c r="AL177" s="54">
        <f>IF($Z$3="yes", 0.0761904761904732/$X177, 0.0761904761904732)</f>
        <v>8.8490680825172134E-3</v>
      </c>
      <c r="AM177" s="54">
        <f>IF($Z$3="yes", 1.46750749999999/$X177, 1.46750749999999)</f>
        <v>0.17044221835075379</v>
      </c>
      <c r="AN177" s="54">
        <f>IF($Z$3="yes", 1.75345749999999/$X177, 1.75345749999999)</f>
        <v>0.20365360046457492</v>
      </c>
      <c r="AO177" s="54">
        <f>IF($Z$3="yes", 1.90565749999999/$X177, 1.90565749999999)</f>
        <v>0.22133072009291407</v>
      </c>
      <c r="AP177" s="54">
        <f>IF($Z$3="yes", 2.17035749999999/$X177, 2.17035749999999)</f>
        <v>0.25207404181184556</v>
      </c>
      <c r="AQ177" s="54">
        <f>IF($Z$3="yes", 2.39892892857142/$X177, 2.39892892857142)</f>
        <v>0.27862124605939836</v>
      </c>
      <c r="AR177" s="54">
        <f>IF($Z$3="yes", 2.68035749999999/$X177, 2.68035749999999)</f>
        <v>0.31130749128919749</v>
      </c>
      <c r="AS177" s="54">
        <f>IF($Z$3="yes", 0.285949999999999/$X177, 0.285949999999999)</f>
        <v>3.321138211382102E-2</v>
      </c>
      <c r="AT177" s="54">
        <f>IF($Z$3="yes", 0.438149999999996/$X177, 0.438149999999996)</f>
        <v>5.0888501742159815E-2</v>
      </c>
      <c r="AU177" s="56">
        <f>IF($Z$3="yes", 0.70285/$X177, 0.70285)</f>
        <v>8.1631823461091754E-2</v>
      </c>
      <c r="AV177" s="56">
        <f>IF($Z$3="yes", 0.931421428571426/$X177, 0.931421428571426)</f>
        <v>0.10817902770864414</v>
      </c>
      <c r="AW177" s="56">
        <f>IF($Z$3="yes", 1.21285/$X177, 1.21285)</f>
        <v>0.14086527293844367</v>
      </c>
      <c r="AX177" s="56">
        <f>IF($Z$3="yes", 0.152199999999997/$X177, 0.152199999999997)</f>
        <v>1.7677119628338792E-2</v>
      </c>
      <c r="AY177" s="56">
        <f>IF($Z$3="yes", 0.264700000000003/$X177, 0.264700000000003)</f>
        <v>3.0743321718931824E-2</v>
      </c>
      <c r="AZ177" s="56">
        <f>IF($Z$3="yes", 0.493271428571429/$X177, 0.493271428571429)</f>
        <v>5.7290525966484214E-2</v>
      </c>
      <c r="BA177" s="56">
        <f>IF($Z$3="yes", 0.774700000000003/$X177, 0.774700000000003)</f>
        <v>8.997677119628375E-2</v>
      </c>
      <c r="BB177" s="56">
        <f>IF($Z$3="yes", 0.4169/$X177, 0.4169)</f>
        <v>4.8420441347270617E-2</v>
      </c>
      <c r="BC177" s="56">
        <f>IF($Z$3="yes", 0.645471428571426/$X177, 0.645471428571426)</f>
        <v>7.496764559482301E-2</v>
      </c>
      <c r="BD177" s="56">
        <f>IF($Z$3="yes", 0.9269/$X177, 0.9269)</f>
        <v>0.10765389082462254</v>
      </c>
      <c r="BE177" s="56">
        <f>IF($Z$3="yes", 0.228571428571425/$X177, 0.228571428571425)</f>
        <v>2.6547204247552268E-2</v>
      </c>
      <c r="BF177" s="56">
        <f>IF($Z$3="yes", 0.509999999999999/$X177, 0.509999999999999)</f>
        <v>5.9233449477351804E-2</v>
      </c>
      <c r="BG177" s="56">
        <f>IF($Z$3="yes", 0.281428571428573/$X177, 0.281428571428573)</f>
        <v>3.2686245229799425E-2</v>
      </c>
      <c r="BH177" s="56">
        <f>IF($Z$3="yes", 1.609011292517/$X177, 1.609011292517)</f>
        <v>0.18687703745842044</v>
      </c>
      <c r="BK177">
        <f>IF($BL$3="yes", MAX(0, (405652 - 437233) / 197147.403851027), 437233)</f>
        <v>437233</v>
      </c>
      <c r="BL177">
        <f>IF($BL$3="yes", MAX(0, (405652 - 1092182.4) / 2071476.30172527), 1092182.4)</f>
        <v>1092182.3999999999</v>
      </c>
      <c r="BM177">
        <f>IF($BL$3="yes", MAX(0, (405652 - 1127592.7) / 2069756.78618771), 1127592.7)</f>
        <v>1127592.7</v>
      </c>
      <c r="BN177">
        <f>IF($BL$3="yes", MAX(0, (405652 - 812426.52) / 1647143.58025692), 812426.52)</f>
        <v>812426.52</v>
      </c>
      <c r="BO177">
        <f>IF($BL$3="yes", MAX(0, (405652 - 2344026.85) / 11272099.73581), 2344026.85)</f>
        <v>2344026.85</v>
      </c>
      <c r="BP177">
        <f>IF($BL$3="yes", MAX(0, (405652 - 1372343.865) / 8112000.61021115), 1372343.865)</f>
        <v>1372343.865</v>
      </c>
      <c r="BQ177">
        <v>66.0613600658791</v>
      </c>
      <c r="BT177">
        <v>-7512448.5905606244</v>
      </c>
      <c r="BU177">
        <v>-186708.3549192324</v>
      </c>
      <c r="BV177">
        <f>IF($Z$3="yes", 0.903829029262585/$X177, 0.903829029262585)</f>
        <v>0.10497433557056737</v>
      </c>
      <c r="BW177">
        <f>IF($Z$3="yes", 1.1270423083443/$X177, 1.1270423083443)</f>
        <v>0.13089922280421604</v>
      </c>
      <c r="BX177">
        <f>$BW$176 - $BV$176</f>
        <v>1.2392524135459271E-2</v>
      </c>
    </row>
    <row r="178" spans="1:95" ht="15.75" customHeight="1" thickBot="1" x14ac:dyDescent="0.3">
      <c r="A178" s="28" t="s">
        <v>745</v>
      </c>
      <c r="B178" s="23" t="s">
        <v>128</v>
      </c>
      <c r="C178" s="53">
        <v>0</v>
      </c>
      <c r="D178" s="23" t="s">
        <v>234</v>
      </c>
      <c r="E178" s="335" t="s">
        <v>233</v>
      </c>
      <c r="F178" s="24">
        <v>0.82989999999999997</v>
      </c>
      <c r="G178" s="25">
        <v>44375</v>
      </c>
      <c r="H178" s="320">
        <v>0.54379999999999995</v>
      </c>
      <c r="I178" s="320">
        <v>0.84</v>
      </c>
      <c r="J178" s="321">
        <v>44376</v>
      </c>
      <c r="K178" s="26">
        <f t="shared" si="10"/>
        <v>-0.34474033016026029</v>
      </c>
      <c r="L178" s="26">
        <f t="shared" si="11"/>
        <v>1.2170140980841015E-2</v>
      </c>
      <c r="M178" s="322">
        <v>44407</v>
      </c>
      <c r="N178" s="54"/>
      <c r="O178" s="55">
        <v>78575131</v>
      </c>
      <c r="P178" s="55">
        <v>77130000</v>
      </c>
      <c r="Q178" s="55">
        <v>1</v>
      </c>
      <c r="R178" s="54" t="s">
        <v>131</v>
      </c>
      <c r="S178" s="55" t="s">
        <v>148</v>
      </c>
      <c r="T178" s="54" t="s">
        <v>154</v>
      </c>
      <c r="U178" s="54">
        <v>68</v>
      </c>
      <c r="V178" s="54">
        <v>640926</v>
      </c>
      <c r="W178" s="54"/>
      <c r="X178" s="54">
        <v>0.82989999999999997</v>
      </c>
      <c r="Y178" s="54">
        <v>0.98378499999999958</v>
      </c>
      <c r="Z178" s="54">
        <v>1.0995760000000001</v>
      </c>
      <c r="AA178" s="54">
        <v>0.84488200000000035</v>
      </c>
      <c r="AB178" s="54">
        <v>0.85665000000000135</v>
      </c>
      <c r="AC178" s="54">
        <v>0.85375000000000001</v>
      </c>
      <c r="AD178" s="54">
        <v>0.84542142857142877</v>
      </c>
      <c r="AE178" s="54">
        <v>0.82555000000000012</v>
      </c>
      <c r="AF178" s="54">
        <f>IF($Z$3="yes", 0.00119808385209629/$X178, 0.00119808385209629)</f>
        <v>1.443648454146632E-3</v>
      </c>
      <c r="AG178" s="54">
        <f>IF($Z$3="yes", -0.00994284428442848/$X178, -0.00994284428442848)</f>
        <v>-1.1980773929905387E-2</v>
      </c>
      <c r="AH178" s="54">
        <f>IF($Z$3="yes", -0.0003276302521009/$X178, -0.0003276302521009)</f>
        <v>-3.9478280768875766E-4</v>
      </c>
      <c r="AI178" s="54">
        <f>IF($Z$3="yes", -0.00104019687875201/$X178, -0.00104019687875201)</f>
        <v>-1.2534002635883961E-3</v>
      </c>
      <c r="AJ178" s="54">
        <f>IF($Z$3="yes", -0.00355593984962405/$X178, -0.00355593984962405)</f>
        <v>-4.2847811177540067E-3</v>
      </c>
      <c r="AK178" s="54">
        <f>IF($Z$3="yes", -0.00606439560439568/$X178, -0.00606439560439568)</f>
        <v>-7.307381135553296E-3</v>
      </c>
      <c r="AL178" s="54">
        <f>IF($Z$3="yes", -0.00360952380952377/$X178, -0.00360952380952377)</f>
        <v>-4.3493478847135437E-3</v>
      </c>
      <c r="AM178" s="54">
        <f>IF($Z$3="yes", 0.115791/$X178, 0.115791)</f>
        <v>0.13952403904084831</v>
      </c>
      <c r="AN178" s="54">
        <f>IF($Z$3="yes", 0.138902999999999/$X178, 0.138902999999999)</f>
        <v>0.16737317749126282</v>
      </c>
      <c r="AO178" s="54">
        <f>IF($Z$3="yes", 0.127134999999998/$X178, 0.127134999999998)</f>
        <v>0.15319315580190143</v>
      </c>
      <c r="AP178" s="54">
        <f>IF($Z$3="yes", 0.130034999999999/$X178, 0.130034999999999)</f>
        <v>0.15668755271719365</v>
      </c>
      <c r="AQ178" s="54">
        <f>IF($Z$3="yes", 0.13836357142857/$X178, 0.13836357142857)</f>
        <v>0.16672318523746235</v>
      </c>
      <c r="AR178" s="54">
        <f>IF($Z$3="yes", 0.158234999999999/$X178, 0.158234999999999)</f>
        <v>0.19066755030726473</v>
      </c>
      <c r="AS178" s="54">
        <f>IF($Z$3="yes", 0.254694/$X178, 0.254694)</f>
        <v>0.30689721653211227</v>
      </c>
      <c r="AT178" s="54">
        <f>IF($Z$3="yes", 0.242925999999998/$X178, 0.242925999999998)</f>
        <v>0.29271719484274972</v>
      </c>
      <c r="AU178" s="56">
        <f>IF($Z$3="yes", 0.245826/$X178, 0.245826)</f>
        <v>0.29621159175804312</v>
      </c>
      <c r="AV178" s="56">
        <f>IF($Z$3="yes", 0.254154571428571/$X178, 0.254154571428571)</f>
        <v>0.30624722427831186</v>
      </c>
      <c r="AW178" s="56">
        <f>IF($Z$3="yes", 0.274026/$X178, 0.274026)</f>
        <v>0.33019158934811421</v>
      </c>
      <c r="AX178" s="56">
        <f>IF($Z$3="yes", 0.011768000000001/$X178, 0.011768000000001)</f>
        <v>1.4180021689361369E-2</v>
      </c>
      <c r="AY178" s="56">
        <f>IF($Z$3="yes", 0.00290000000000134/$X178, 0.00290000000000134)</f>
        <v>3.4943969152926137E-3</v>
      </c>
      <c r="AZ178" s="56">
        <f>IF($Z$3="yes", 0.0112285714285725/$X178, 0.0112285714285725)</f>
        <v>1.3530029435561515E-2</v>
      </c>
      <c r="BA178" s="56">
        <f>IF($Z$3="yes", 0.0311000000000012/$X178, 0.0311000000000012)</f>
        <v>3.7474394505363537E-2</v>
      </c>
      <c r="BB178" s="56">
        <f>IF($Z$3="yes", 0.00886799999999965/$X178, 0.00886799999999965)</f>
        <v>1.0685624774068744E-2</v>
      </c>
      <c r="BC178" s="56">
        <f>IF($Z$3="yes", 0.000539428571428413/$X178, 0.000539428571428413)</f>
        <v>6.499922537997507E-4</v>
      </c>
      <c r="BD178" s="56">
        <f>IF($Z$3="yes", 0.0193320000000002/$X178, 0.0193320000000002)</f>
        <v>2.3294372816002169E-2</v>
      </c>
      <c r="BE178" s="56">
        <f>IF($Z$3="yes", 0.00832857142857124/$X178, 0.00832857142857124)</f>
        <v>1.0035632520268995E-2</v>
      </c>
      <c r="BF178" s="56">
        <f>IF($Z$3="yes", 0.0281999999999998/$X178, 0.0281999999999998)</f>
        <v>3.3979997590070858E-2</v>
      </c>
      <c r="BG178" s="56">
        <f>IF($Z$3="yes", 0.0198714285714286/$X178, 0.0198714285714286)</f>
        <v>2.3944365069801903E-2</v>
      </c>
      <c r="BH178" s="56">
        <f>IF($Z$3="yes", 0.173262027210884/$X178, 0.173262027210884)</f>
        <v>0.20877458393888901</v>
      </c>
      <c r="BK178">
        <f>IF($BL$3="yes", MAX(0, (640926 - 693102.8) / 183741.366283588), 693102.8)</f>
        <v>693102.8</v>
      </c>
      <c r="BL178">
        <f>IF($BL$3="yes", MAX(0, (640926 - 942775.5) / 326195.750667371), 942775.5)</f>
        <v>942775.5</v>
      </c>
      <c r="BM178">
        <f>IF($BL$3="yes", MAX(0, (640926 - 922926.65) / 385800.795093306), 922926.65)</f>
        <v>922926.65</v>
      </c>
      <c r="BN178">
        <f>IF($BL$3="yes", MAX(0, (640926 - 1918068.78) / 3550553.58454253), 1918068.78)</f>
        <v>1918068.78</v>
      </c>
      <c r="BO178">
        <f>IF($BL$3="yes", MAX(0, (640926 - 3087118.67) / 4672302.39429784), 3087118.67)</f>
        <v>3087118.67</v>
      </c>
      <c r="BP178">
        <f>IF($BL$3="yes", MAX(0, (640926 - 3702583.195) / 14241785.8050829), 3702583.195)</f>
        <v>3702583.1949999998</v>
      </c>
      <c r="BQ178">
        <v>46.649549471284182</v>
      </c>
      <c r="BT178">
        <v>134734.9835958014</v>
      </c>
      <c r="BU178">
        <v>282159.41831891431</v>
      </c>
      <c r="BV178">
        <f>IF($Z$3="yes", 0.0469065394438456/$X178, 0.0469065394438456)</f>
        <v>5.6520712668810223E-2</v>
      </c>
      <c r="BW178">
        <f>IF($Z$3="yes", 0.0807766327583902/$X178, 0.0807766327583902)</f>
        <v>9.7332971151211228E-2</v>
      </c>
      <c r="BX178">
        <f>$BW$190 - $BV$190</f>
        <v>5.5166494507412969E-2</v>
      </c>
    </row>
    <row r="179" spans="1:95" ht="15.75" customHeight="1" thickBot="1" x14ac:dyDescent="0.3">
      <c r="A179" s="28" t="s">
        <v>745</v>
      </c>
      <c r="B179" s="23" t="s">
        <v>128</v>
      </c>
      <c r="C179" s="53">
        <v>2</v>
      </c>
      <c r="D179" s="281" t="s">
        <v>766</v>
      </c>
      <c r="E179" s="334"/>
      <c r="F179" s="24">
        <v>2.62</v>
      </c>
      <c r="G179" s="25">
        <v>44375</v>
      </c>
      <c r="H179" s="320">
        <v>3.15</v>
      </c>
      <c r="I179" s="320">
        <v>8.1999999999999993</v>
      </c>
      <c r="J179" s="321">
        <v>44376</v>
      </c>
      <c r="K179" s="26">
        <f t="shared" si="10"/>
        <v>0.2022900763358777</v>
      </c>
      <c r="L179" s="26">
        <f t="shared" si="11"/>
        <v>2.1297709923664119</v>
      </c>
      <c r="M179" s="322">
        <v>44407</v>
      </c>
      <c r="N179" s="54"/>
      <c r="O179" s="55">
        <v>13407029</v>
      </c>
      <c r="P179" s="55">
        <v>12470000</v>
      </c>
      <c r="Q179" s="55">
        <v>1</v>
      </c>
      <c r="R179" s="54" t="s">
        <v>131</v>
      </c>
      <c r="S179" s="55" t="s">
        <v>135</v>
      </c>
      <c r="T179" s="54" t="s">
        <v>133</v>
      </c>
      <c r="U179" s="54">
        <v>112</v>
      </c>
      <c r="V179" s="54">
        <v>633695</v>
      </c>
      <c r="W179" s="54"/>
      <c r="X179" s="54">
        <v>2.62</v>
      </c>
      <c r="Y179" s="54">
        <v>2.429022999999999</v>
      </c>
      <c r="Z179" s="54">
        <v>3.4485500000000009</v>
      </c>
      <c r="AA179" s="54">
        <v>2.3993999999999991</v>
      </c>
      <c r="AB179" s="54">
        <v>2.5401999999999978</v>
      </c>
      <c r="AC179" s="54">
        <v>2.44</v>
      </c>
      <c r="AD179" s="54">
        <v>2.426428571428572</v>
      </c>
      <c r="AE179" s="54">
        <v>2.355</v>
      </c>
      <c r="AF179" s="54">
        <f>IF($Z$3="yes", 0.0108203249081227/$X179, 0.0108203249081227)</f>
        <v>4.1298950031002672E-3</v>
      </c>
      <c r="AG179" s="54">
        <f>IF($Z$3="yes", -0.039530303030303/$X179, -0.039530303030303)</f>
        <v>-1.5087901919962976E-2</v>
      </c>
      <c r="AH179" s="54">
        <f>IF($Z$3="yes", -0.0019231692677068/$X179, -0.0019231692677068)</f>
        <v>-7.340340716438168E-4</v>
      </c>
      <c r="AI179" s="54">
        <f>IF($Z$3="yes", -0.0139788715486186/$X179, -0.0139788715486186)</f>
        <v>-5.3354471559612978E-3</v>
      </c>
      <c r="AJ179" s="54">
        <f>IF($Z$3="yes", -0.00639097744360902/$X179, -0.00639097744360902)</f>
        <v>-2.4393043677897021E-3</v>
      </c>
      <c r="AK179" s="54">
        <f>IF($Z$3="yes", -0.0167252747252751/$X179, -0.0167252747252751)</f>
        <v>-6.38369264323477E-3</v>
      </c>
      <c r="AL179" s="54">
        <f>IF($Z$3="yes", 0.0433333333333345/$X179, 0.0433333333333345)</f>
        <v>1.6539440203562787E-2</v>
      </c>
      <c r="AM179" s="54">
        <f>IF($Z$3="yes", 1.019527/$X179, 1.019527)</f>
        <v>0.38913244274809161</v>
      </c>
      <c r="AN179" s="54">
        <f>IF($Z$3="yes", 0.0296230000000004/$X179, 0.0296230000000004)</f>
        <v>1.1306488549618472E-2</v>
      </c>
      <c r="AO179" s="54">
        <f>IF($Z$3="yes", 0.111176999999998/$X179, 0.111176999999998)</f>
        <v>4.2433969465648091E-2</v>
      </c>
      <c r="AP179" s="54">
        <f>IF($Z$3="yes", 0.0109770000000009/$X179, 0.0109770000000009)</f>
        <v>4.1896946564888926E-3</v>
      </c>
      <c r="AQ179" s="54">
        <f>IF($Z$3="yes", 0.00259442857142788/$X179, 0.00259442857142788)</f>
        <v>9.9023991275873271E-4</v>
      </c>
      <c r="AR179" s="54">
        <f>IF($Z$3="yes", 0.0740229999999999/$X179, 0.0740229999999999)</f>
        <v>2.8253053435114462E-2</v>
      </c>
      <c r="AS179" s="54">
        <f>IF($Z$3="yes", 1.04915/$X179, 1.04915)</f>
        <v>0.40043893129770991</v>
      </c>
      <c r="AT179" s="54">
        <f>IF($Z$3="yes", 0.908350000000003/$X179, 0.908350000000003)</f>
        <v>0.34669847328244385</v>
      </c>
      <c r="AU179" s="56">
        <f>IF($Z$3="yes", 1.00855/$X179, 1.00855)</f>
        <v>0.38494274809160306</v>
      </c>
      <c r="AV179" s="56">
        <f>IF($Z$3="yes", 1.02212142857142/$X179, 1.02212142857142)</f>
        <v>0.39012268266084732</v>
      </c>
      <c r="AW179" s="56">
        <f>IF($Z$3="yes", 1.09355/$X179, 1.09355)</f>
        <v>0.41738549618320608</v>
      </c>
      <c r="AX179" s="56">
        <f>IF($Z$3="yes", 0.140799999999998/$X179, 0.140799999999998)</f>
        <v>5.3740458015266411E-2</v>
      </c>
      <c r="AY179" s="56">
        <f>IF($Z$3="yes", 0.100199999999997/$X179, 0.100199999999997)</f>
        <v>3.8244274809159158E-2</v>
      </c>
      <c r="AZ179" s="56">
        <f>IF($Z$3="yes", 0.113771428571426/$X179, 0.113771428571426)</f>
        <v>4.3424209378406867E-2</v>
      </c>
      <c r="BA179" s="56">
        <f>IF($Z$3="yes", 0.185199999999998/$X179, 0.185199999999998)</f>
        <v>7.0687022900762592E-2</v>
      </c>
      <c r="BB179" s="56">
        <f>IF($Z$3="yes", 0.0406000000000013/$X179, 0.0406000000000013)</f>
        <v>1.5496183206107366E-2</v>
      </c>
      <c r="BC179" s="56">
        <f>IF($Z$3="yes", 0.0270285714285725/$X179, 0.0270285714285725)</f>
        <v>1.0316248636859733E-2</v>
      </c>
      <c r="BD179" s="56">
        <f>IF($Z$3="yes", 0.0443999999999995/$X179, 0.0443999999999995)</f>
        <v>1.6946564885495993E-2</v>
      </c>
      <c r="BE179" s="56">
        <f>IF($Z$3="yes", 0.0135714285714287/$X179, 0.0135714285714287)</f>
        <v>5.179934569247595E-3</v>
      </c>
      <c r="BF179" s="56">
        <f>IF($Z$3="yes", 0.0850000000000008/$X179, 0.0850000000000008)</f>
        <v>3.2442748091603357E-2</v>
      </c>
      <c r="BG179" s="56">
        <f>IF($Z$3="yes", 0.071428571428572/$X179, 0.071428571428572)</f>
        <v>2.7262813522355722E-2</v>
      </c>
      <c r="BH179" s="56">
        <f>IF($Z$3="yes", 0.518281972789115/$X179, 0.518281972789115)</f>
        <v>0.19781754686607442</v>
      </c>
      <c r="BK179">
        <f>IF($BL$3="yes", MAX(0, (633695 - 281266.6) / 187216.41658423), 281266.6)</f>
        <v>281266.59999999998</v>
      </c>
      <c r="BL179">
        <f>IF($BL$3="yes", MAX(0, (633695 - 227921.6) / 146268.730479347), 227921.6)</f>
        <v>227921.6</v>
      </c>
      <c r="BM179">
        <f>IF($BL$3="yes", MAX(0, (633695 - 451251.65) / 651353.134924848), 451251.65)</f>
        <v>451251.65</v>
      </c>
      <c r="BN179">
        <f>IF($BL$3="yes", MAX(0, (633695 - 472111.1) / 790796.605065), 472111.1)</f>
        <v>472111.1</v>
      </c>
      <c r="BO179">
        <f>IF($BL$3="yes", MAX(0, (633695 - 2441862.32) / 12039757.4045273), 2441862.32)</f>
        <v>2441862.3199999998</v>
      </c>
      <c r="BP179">
        <f>IF($BL$3="yes", MAX(0, (633695 - 1266080.075) / 8594688.47137822), 1266080.075)</f>
        <v>1266080.075</v>
      </c>
      <c r="BQ179">
        <v>64.284101048455824</v>
      </c>
      <c r="BT179">
        <v>9446.8492094798712</v>
      </c>
      <c r="BU179">
        <v>285359.44237851078</v>
      </c>
      <c r="BV179">
        <f>IF($Z$3="yes", 0.192311643081436/$X179, 0.192311643081436)</f>
        <v>7.3401390489097704E-2</v>
      </c>
      <c r="BW179">
        <f>IF($Z$3="yes", 0.288171476574216/$X179, 0.288171476574216)</f>
        <v>0.10998911319626564</v>
      </c>
      <c r="BX179">
        <f>$BW$186 - $BV$186</f>
        <v>7.2895059293001011E-2</v>
      </c>
    </row>
    <row r="180" spans="1:95" ht="15.75" customHeight="1" thickBot="1" x14ac:dyDescent="0.3">
      <c r="A180" s="58" t="s">
        <v>745</v>
      </c>
      <c r="B180" s="23" t="s">
        <v>128</v>
      </c>
      <c r="C180" s="53">
        <v>2</v>
      </c>
      <c r="D180" s="296" t="s">
        <v>213</v>
      </c>
      <c r="E180" s="27"/>
      <c r="F180" s="32">
        <v>4.97</v>
      </c>
      <c r="G180" s="33">
        <v>44375</v>
      </c>
      <c r="H180" s="323">
        <v>3.89</v>
      </c>
      <c r="I180" s="323">
        <v>5.29</v>
      </c>
      <c r="J180" s="324">
        <v>44377</v>
      </c>
      <c r="K180" s="35">
        <f t="shared" si="10"/>
        <v>-0.21730382293762573</v>
      </c>
      <c r="L180" s="35">
        <f t="shared" si="11"/>
        <v>6.4386317907444646E-2</v>
      </c>
      <c r="M180" s="322">
        <v>44407</v>
      </c>
      <c r="N180" s="54"/>
      <c r="O180" s="55">
        <v>8688000</v>
      </c>
      <c r="P180" s="55" t="s">
        <v>878</v>
      </c>
      <c r="Q180" s="55">
        <v>2</v>
      </c>
      <c r="R180" s="54" t="s">
        <v>131</v>
      </c>
      <c r="S180" s="55" t="s">
        <v>132</v>
      </c>
      <c r="T180" s="54" t="s">
        <v>214</v>
      </c>
      <c r="U180" s="54">
        <v>72</v>
      </c>
      <c r="V180" s="54">
        <v>105965</v>
      </c>
      <c r="W180" s="54"/>
      <c r="X180" s="54">
        <v>4.97</v>
      </c>
      <c r="Y180" s="54" t="e">
        <v>#N/A</v>
      </c>
      <c r="Z180" s="54" t="e">
        <v>#N/A</v>
      </c>
      <c r="AA180" s="54">
        <v>5.2392000000000012</v>
      </c>
      <c r="AB180" s="54">
        <v>5.7018000000000004</v>
      </c>
      <c r="AC180" s="54">
        <v>4.9269999999999996</v>
      </c>
      <c r="AD180" s="54">
        <v>4.9471428571428584</v>
      </c>
      <c r="AE180" s="54">
        <v>4.8637499999999996</v>
      </c>
      <c r="AF180" s="54" t="e">
        <f>IF($Z$3="yes", #N/A/$X180, #N/A)</f>
        <v>#N/A</v>
      </c>
      <c r="AG180" s="54" t="e">
        <f>IF($Z$3="yes", #N/A/$X180, #N/A)</f>
        <v>#N/A</v>
      </c>
      <c r="AH180" s="54">
        <f>IF($Z$3="yes", -0.0239404561824733/$X180, -0.0239404561824733)</f>
        <v>-4.8169931956686717E-3</v>
      </c>
      <c r="AI180" s="54">
        <f>IF($Z$3="yes", -0.0528052821128451/$X180, -0.0528052821128451)</f>
        <v>-1.0624805254093582E-2</v>
      </c>
      <c r="AJ180" s="54">
        <f>IF($Z$3="yes", -0.000451127819548872/$X180, -0.000451127819548872)</f>
        <v>-9.0770185019893774E-5</v>
      </c>
      <c r="AK180" s="54">
        <f>IF($Z$3="yes", -0.0191648351648362/$X180, -0.0191648351648362)</f>
        <v>-3.8561036548966196E-3</v>
      </c>
      <c r="AL180" s="54">
        <f>IF($Z$3="yes", 0.033452380952383/$X180, 0.033452380952383)</f>
        <v>6.7308613586283712E-3</v>
      </c>
      <c r="AM180" s="54"/>
      <c r="AN180" s="54"/>
      <c r="AO180" s="54"/>
      <c r="AP180" s="54"/>
      <c r="AQ180" s="54"/>
      <c r="AR180" s="54"/>
      <c r="AS180" s="54"/>
      <c r="AT180" s="54"/>
      <c r="AU180" s="56"/>
      <c r="AV180" s="56"/>
      <c r="AW180" s="56"/>
      <c r="AX180" s="56">
        <f>IF($Z$3="yes", 0.462599999999998/$X180, 0.462599999999998)</f>
        <v>9.30784708249493E-2</v>
      </c>
      <c r="AY180" s="56">
        <f>IF($Z$3="yes", 0.774799999999999/$X180, 0.774799999999999)</f>
        <v>0.15589537223340022</v>
      </c>
      <c r="AZ180" s="56">
        <f>IF($Z$3="yes", 0.754657142857142/$X180, 0.754657142857142)</f>
        <v>0.15184248347226198</v>
      </c>
      <c r="BA180" s="56">
        <f>IF($Z$3="yes", 0.838049999999999/$X180, 0.838049999999999)</f>
        <v>0.16862173038229356</v>
      </c>
      <c r="BB180" s="56">
        <f>IF($Z$3="yes", 0.3122/$X180, 0.3122)</f>
        <v>6.2816901408450698E-2</v>
      </c>
      <c r="BC180" s="56">
        <f>IF($Z$3="yes", 0.292057142857143/$X180, 0.292057142857143)</f>
        <v>5.8764012647312479E-2</v>
      </c>
      <c r="BD180" s="56">
        <f>IF($Z$3="yes", 0.37545/$X180, 0.37545)</f>
        <v>7.5543259557344075E-2</v>
      </c>
      <c r="BE180" s="56">
        <f>IF($Z$3="yes", 0.020142857142857/$X180, 0.020142857142857)</f>
        <v>4.0528887611382299E-3</v>
      </c>
      <c r="BF180" s="56">
        <f>IF($Z$3="yes", 0.06325/$X180, 0.06325)</f>
        <v>1.2726358148893361E-2</v>
      </c>
      <c r="BG180" s="56">
        <f>IF($Z$3="yes", 0.083392857142857/$X180, 0.083392857142857)</f>
        <v>1.6779246910031593E-2</v>
      </c>
      <c r="BH180" s="56">
        <f>IF($Z$3="yes", 0.656547278911564/$X180, 0.656547278911564)</f>
        <v>0.13210206819146156</v>
      </c>
      <c r="BK180">
        <f>IF($BL$3="yes", MAX(0, (105965 - 319048.4) / 170424.645275969), 319048.4)</f>
        <v>319048.40000000002</v>
      </c>
      <c r="BL180">
        <f>IF($BL$3="yes", MAX(0, (105965 - 463497.4) / 547969.079671691), 463497.4)</f>
        <v>463497.4</v>
      </c>
      <c r="BM180">
        <f>IF($BL$3="yes", MAX(0, (105965 - 702940.75) / 963682.973213954), 702940.75)</f>
        <v>702940.75</v>
      </c>
      <c r="BN180">
        <f>IF($BL$3="yes", MAX(0, (105965 - 778730.74) / 1063140.33003873), 778730.74)</f>
        <v>778730.74</v>
      </c>
      <c r="BO180">
        <f>IF($BL$3="yes", MAX(0, (105965 - 1355688) / 2397265.09118258), 1355688)</f>
        <v>1355688</v>
      </c>
      <c r="BP180">
        <f>IF($BL$3="yes", MAX(0, (105965 - 1355688) / 2397265.09118258), 1355688)</f>
        <v>1355688</v>
      </c>
      <c r="BQ180">
        <v>55.411402407052847</v>
      </c>
      <c r="BT180">
        <v>-6472866.3435562858</v>
      </c>
      <c r="BU180">
        <v>-221426.58789240569</v>
      </c>
      <c r="BV180">
        <f>IF($Z$3="yes", 0.479599345335647/$X180, 0.479599345335647)</f>
        <v>9.6498862240572844E-2</v>
      </c>
      <c r="BW180">
        <f>IF($Z$3="yes", 1.60417473945471/$X180, 1.60417473945471)</f>
        <v>0.32277157735507245</v>
      </c>
      <c r="BX180">
        <f>$BW$183 - $BV$183</f>
        <v>6.0846912742218887E-2</v>
      </c>
    </row>
    <row r="181" spans="1:95" ht="15.75" customHeight="1" thickBot="1" x14ac:dyDescent="0.3">
      <c r="A181" s="58" t="s">
        <v>745</v>
      </c>
      <c r="B181" s="23" t="s">
        <v>128</v>
      </c>
      <c r="C181" s="53">
        <v>0</v>
      </c>
      <c r="D181" s="31" t="s">
        <v>879</v>
      </c>
      <c r="E181" s="59" t="s">
        <v>880</v>
      </c>
      <c r="F181" s="32">
        <v>3.94</v>
      </c>
      <c r="G181" s="33">
        <v>44375</v>
      </c>
      <c r="H181" s="323">
        <v>3.05</v>
      </c>
      <c r="I181" s="323">
        <v>4.9800000000000004</v>
      </c>
      <c r="J181" s="324">
        <v>44403</v>
      </c>
      <c r="K181" s="35">
        <f t="shared" si="10"/>
        <v>-0.22588832487309651</v>
      </c>
      <c r="L181" s="35">
        <f t="shared" si="11"/>
        <v>0.26395939086294429</v>
      </c>
      <c r="M181" s="322">
        <v>44407</v>
      </c>
      <c r="N181" s="54"/>
      <c r="O181" s="55">
        <v>10838500</v>
      </c>
      <c r="P181" s="55">
        <v>6170000</v>
      </c>
      <c r="Q181" s="55">
        <v>28</v>
      </c>
      <c r="R181" s="54" t="s">
        <v>152</v>
      </c>
      <c r="S181" s="55" t="s">
        <v>148</v>
      </c>
      <c r="T181" s="54" t="s">
        <v>881</v>
      </c>
      <c r="U181" s="54">
        <v>24</v>
      </c>
      <c r="V181" s="54">
        <v>301505</v>
      </c>
      <c r="W181" s="54"/>
      <c r="X181" s="54">
        <v>3.95</v>
      </c>
      <c r="Y181" s="54" t="e">
        <v>#N/A</v>
      </c>
      <c r="Z181" s="54">
        <v>6.0934449999999973</v>
      </c>
      <c r="AA181" s="54">
        <v>4.8484900000000009</v>
      </c>
      <c r="AB181" s="54">
        <v>5.4042900000000023</v>
      </c>
      <c r="AC181" s="54">
        <v>3.987000000000001</v>
      </c>
      <c r="AD181" s="54">
        <v>3.9550000000000001</v>
      </c>
      <c r="AE181" s="54">
        <v>3.8837500000000018</v>
      </c>
      <c r="AF181" s="54" t="e">
        <f>IF($Z$3="yes", #N/A/$X181, #N/A)</f>
        <v>#N/A</v>
      </c>
      <c r="AG181" s="54">
        <f>IF($Z$3="yes", -0.0527459795979596/$X181, -0.0527459795979596)</f>
        <v>-1.3353412556445466E-2</v>
      </c>
      <c r="AH181" s="54">
        <f>IF($Z$3="yes", -0.0519876350540216/$X181, -0.0519876350540216)</f>
        <v>-1.3161426595954834E-2</v>
      </c>
      <c r="AI181" s="54">
        <f>IF($Z$3="yes", -0.0612601440576232/$X181, -0.0612601440576232)</f>
        <v>-1.5508897229778025E-2</v>
      </c>
      <c r="AJ181" s="54">
        <f>IF($Z$3="yes", -0.0132631578947366/$X181, -0.0132631578947366)</f>
        <v>-3.3577614923383796E-3</v>
      </c>
      <c r="AK181" s="54">
        <f>IF($Z$3="yes", -0.0193186813186812/$X181, -0.0193186813186812)</f>
        <v>-4.8908053971344805E-3</v>
      </c>
      <c r="AL181" s="54">
        <f>IF($Z$3="yes", 0.00535714285714272/$X181, 0.00535714285714272)</f>
        <v>1.3562386980108152E-3</v>
      </c>
      <c r="AM181" s="54"/>
      <c r="AN181" s="54"/>
      <c r="AO181" s="54"/>
      <c r="AP181" s="54"/>
      <c r="AQ181" s="54"/>
      <c r="AR181" s="54"/>
      <c r="AS181" s="54">
        <f>IF($Z$3="yes", 1.24495499999999/$X181, 1.24495499999999)</f>
        <v>0.31517848101265572</v>
      </c>
      <c r="AT181" s="54">
        <f>IF($Z$3="yes", 0.689154999999995/$X181, 0.689154999999995)</f>
        <v>0.17446962025316329</v>
      </c>
      <c r="AU181" s="56">
        <f>IF($Z$3="yes", 2.10644499999999/$X181, 2.10644499999999)</f>
        <v>0.53327721518987092</v>
      </c>
      <c r="AV181" s="56">
        <f>IF($Z$3="yes", 2.13844499999999/$X181, 2.13844499999999)</f>
        <v>0.54137848101265573</v>
      </c>
      <c r="AW181" s="56">
        <f>IF($Z$3="yes", 2.20969499999999/$X181, 2.20969499999999)</f>
        <v>0.55941645569620002</v>
      </c>
      <c r="AX181" s="56">
        <f>IF($Z$3="yes", 0.555800000000001/$X181, 0.555800000000001)</f>
        <v>0.1407088607594939</v>
      </c>
      <c r="AY181" s="56">
        <f>IF($Z$3="yes", 1.41729/$X181, 1.41729)</f>
        <v>0.35880759493670883</v>
      </c>
      <c r="AZ181" s="56">
        <f>IF($Z$3="yes", 1.44929/$X181, 1.44929)</f>
        <v>0.36690886075949364</v>
      </c>
      <c r="BA181" s="56">
        <f>IF($Z$3="yes", 1.52054/$X181, 1.52054)</f>
        <v>0.38494683544303798</v>
      </c>
      <c r="BB181" s="56">
        <f>IF($Z$3="yes", 0.86149/$X181, 0.86149)</f>
        <v>0.21809873417721518</v>
      </c>
      <c r="BC181" s="56">
        <f>IF($Z$3="yes", 0.89349/$X181, 0.89349)</f>
        <v>0.22619999999999998</v>
      </c>
      <c r="BD181" s="56">
        <f>IF($Z$3="yes", 0.964739999999998/$X181, 0.964739999999998)</f>
        <v>0.2442379746835438</v>
      </c>
      <c r="BE181" s="56">
        <f>IF($Z$3="yes", 0.0320000000000004/$X181, 0.0320000000000004)</f>
        <v>8.1012658227849112E-3</v>
      </c>
      <c r="BF181" s="56">
        <f>IF($Z$3="yes", 0.103249999999998/$X181, 0.103249999999998)</f>
        <v>2.6139240506328605E-2</v>
      </c>
      <c r="BG181" s="56">
        <f>IF($Z$3="yes", 0.0712499999999978/$X181, 0.0712499999999978)</f>
        <v>1.8037974683543748E-2</v>
      </c>
      <c r="BH181" s="56">
        <f>IF($Z$3="yes", 1.14745642857142/$X181, 1.14745642857142)</f>
        <v>0.29049529837251137</v>
      </c>
      <c r="BK181">
        <f>IF($BL$3="yes", MAX(0, (301505 - 279767.6) / 107812.617307252), 279767.6)</f>
        <v>279767.59999999998</v>
      </c>
      <c r="BL181">
        <f>IF($BL$3="yes", MAX(0, (301505 - 298284.5) / 107741.740719416), 298284.5)</f>
        <v>298284.5</v>
      </c>
      <c r="BM181">
        <f>IF($BL$3="yes", MAX(0, (301505 - 415257.55) / 222238.890704906), 415257.55)</f>
        <v>415257.55</v>
      </c>
      <c r="BN181">
        <f>IF($BL$3="yes", MAX(0, (301505 - 380908.32) / 490870.16107714), 380908.32)</f>
        <v>380908.32</v>
      </c>
      <c r="BO181">
        <f>IF($BL$3="yes", MAX(0, (301505 - 324138.71) / 424338.12822798), 324138.71)</f>
        <v>324138.71000000002</v>
      </c>
      <c r="BP181">
        <f>IF($BL$3="yes", MAX(0, (301505 - 469437.485981308) / 947099.41596034), 469437.485981308)</f>
        <v>469437.48598130798</v>
      </c>
      <c r="BQ181">
        <v>43.294480103698227</v>
      </c>
      <c r="BT181">
        <v>-158555.8077973318</v>
      </c>
      <c r="BU181">
        <v>85789.51119710994</v>
      </c>
      <c r="BV181">
        <f>IF($Z$3="yes", 0.2733719454619/$X181, 0.2733719454619)</f>
        <v>6.9208087458708864E-2</v>
      </c>
      <c r="BW181">
        <f>IF($Z$3="yes", 0.455945971358252/$X181, 0.455945971358252)</f>
        <v>0.11542935983753215</v>
      </c>
      <c r="BX181">
        <f>$BW$191 - $BV$191</f>
        <v>4.3018277117659987E-2</v>
      </c>
    </row>
    <row r="182" spans="1:95" ht="15.75" customHeight="1" thickBot="1" x14ac:dyDescent="0.3">
      <c r="A182" s="58" t="s">
        <v>745</v>
      </c>
      <c r="B182" s="23" t="s">
        <v>128</v>
      </c>
      <c r="C182" s="53">
        <v>0</v>
      </c>
      <c r="D182" s="31" t="s">
        <v>882</v>
      </c>
      <c r="E182" s="27"/>
      <c r="F182" s="32">
        <v>5.25</v>
      </c>
      <c r="G182" s="33">
        <v>44375</v>
      </c>
      <c r="H182" s="323">
        <v>4.37</v>
      </c>
      <c r="I182" s="323">
        <v>5.6</v>
      </c>
      <c r="J182" s="324">
        <v>44405</v>
      </c>
      <c r="K182" s="35">
        <f t="shared" si="10"/>
        <v>-0.16761904761904756</v>
      </c>
      <c r="L182" s="35">
        <f t="shared" si="11"/>
        <v>6.6666666666666652E-2</v>
      </c>
      <c r="M182" s="322">
        <v>44407</v>
      </c>
      <c r="N182" s="54"/>
      <c r="O182" s="55">
        <v>6327702</v>
      </c>
      <c r="P182" s="55">
        <v>6070000</v>
      </c>
      <c r="Q182" s="55">
        <v>30</v>
      </c>
      <c r="R182" s="54" t="s">
        <v>131</v>
      </c>
      <c r="S182" s="55" t="s">
        <v>157</v>
      </c>
      <c r="T182" s="54" t="s">
        <v>154</v>
      </c>
      <c r="U182" s="54">
        <v>316</v>
      </c>
      <c r="V182" s="54">
        <v>219131</v>
      </c>
      <c r="W182" s="54"/>
      <c r="X182" s="54">
        <v>5.25</v>
      </c>
      <c r="Y182" s="54" t="e">
        <v>#N/A</v>
      </c>
      <c r="Z182" s="54">
        <v>5.3176000000000014</v>
      </c>
      <c r="AA182" s="54">
        <v>5.2886000000000024</v>
      </c>
      <c r="AB182" s="54">
        <v>5.1847999999999983</v>
      </c>
      <c r="AC182" s="54">
        <v>5.2885000000000009</v>
      </c>
      <c r="AD182" s="54">
        <v>5.3428571428571434</v>
      </c>
      <c r="AE182" s="54">
        <v>5.2625000000000011</v>
      </c>
      <c r="AF182" s="54" t="e">
        <f>IF($Z$3="yes", #N/A/$X182, #N/A)</f>
        <v>#N/A</v>
      </c>
      <c r="AG182" s="54">
        <f>IF($Z$3="yes", -0.00610741074107399/$X182, -0.00610741074107399)</f>
        <v>-1.163316331633141E-3</v>
      </c>
      <c r="AH182" s="54">
        <f>IF($Z$3="yes", 0.00400144057623071/$X182, 0.00400144057623071)</f>
        <v>7.6217915737727807E-4</v>
      </c>
      <c r="AI182" s="54">
        <f>IF($Z$3="yes", 0.0147601440576241/$X182, 0.0147601440576241)</f>
        <v>2.8114560109760191E-3</v>
      </c>
      <c r="AJ182" s="54">
        <f>IF($Z$3="yes", 0.00316541353383475/$X182, 0.00316541353383475)</f>
        <v>6.0293591120661903E-4</v>
      </c>
      <c r="AK182" s="54">
        <f>IF($Z$3="yes", -0.0261538461538467/$X182, -0.0261538461538467)</f>
        <v>-4.9816849816850858E-3</v>
      </c>
      <c r="AL182" s="54">
        <f>IF($Z$3="yes", -0.0411904761904806/$X182, -0.0411904761904806)</f>
        <v>-7.8458049886629723E-3</v>
      </c>
      <c r="AM182" s="54"/>
      <c r="AN182" s="54"/>
      <c r="AO182" s="54"/>
      <c r="AP182" s="54"/>
      <c r="AQ182" s="54"/>
      <c r="AR182" s="54"/>
      <c r="AS182" s="54">
        <f>IF($Z$3="yes", 0.0289999999999999/$X182, 0.0289999999999999)</f>
        <v>5.5238095238095046E-3</v>
      </c>
      <c r="AT182" s="54">
        <f>IF($Z$3="yes", 0.132800000000003/$X182, 0.132800000000003)</f>
        <v>2.5295238095238665E-2</v>
      </c>
      <c r="AU182" s="56">
        <f>IF($Z$3="yes", 0.0291000000000005/$X182, 0.0291000000000005)</f>
        <v>5.5428571428572382E-3</v>
      </c>
      <c r="AV182" s="56">
        <f>IF($Z$3="yes", 0.0252571428571419/$X182, 0.0252571428571419)</f>
        <v>4.8108843537413137E-3</v>
      </c>
      <c r="AW182" s="56">
        <f>IF($Z$3="yes", 0.0551000000000003/$X182, 0.0551000000000003)</f>
        <v>1.0495238095238153E-2</v>
      </c>
      <c r="AX182" s="56">
        <f>IF($Z$3="yes", 0.103800000000003/$X182, 0.103800000000003)</f>
        <v>1.9771428571429144E-2</v>
      </c>
      <c r="AY182" s="56">
        <f>IF($Z$3="yes", 0.103700000000002/$X182, 0.103700000000002)</f>
        <v>1.9752380952381333E-2</v>
      </c>
      <c r="AZ182" s="56">
        <f>IF($Z$3="yes", 0.158057142857145/$X182, 0.158057142857145)</f>
        <v>3.0106122448980002E-2</v>
      </c>
      <c r="BA182" s="56">
        <f>IF($Z$3="yes", 0.0777000000000027/$X182, 0.0777000000000027)</f>
        <v>1.4800000000000514E-2</v>
      </c>
      <c r="BB182" s="56">
        <f>IF($Z$3="yes", 0.000100000000000655/$X182, 0.000100000000000655)</f>
        <v>1.9047619047743811E-5</v>
      </c>
      <c r="BC182" s="56">
        <f>IF($Z$3="yes", 0.0542571428571418/$X182, 0.0542571428571418)</f>
        <v>1.0334693877550819E-2</v>
      </c>
      <c r="BD182" s="56">
        <f>IF($Z$3="yes", 0.0261000000000004/$X182, 0.0261000000000004)</f>
        <v>4.9714285714286474E-3</v>
      </c>
      <c r="BE182" s="56">
        <f>IF($Z$3="yes", 0.0543571428571425/$X182, 0.0543571428571425)</f>
        <v>1.0353741496598571E-2</v>
      </c>
      <c r="BF182" s="56">
        <f>IF($Z$3="yes", 0.0259999999999998/$X182, 0.0259999999999998)</f>
        <v>4.9523809523809147E-3</v>
      </c>
      <c r="BG182" s="56">
        <f>IF($Z$3="yes", 0.0803571428571423/$X182, 0.0803571428571423)</f>
        <v>1.5306122448979484E-2</v>
      </c>
      <c r="BH182" s="56">
        <f>IF($Z$3="yes", 0.550525850340136/$X182, 0.550525850340136)</f>
        <v>0.10486206673145448</v>
      </c>
      <c r="BK182">
        <f>IF($BL$3="yes", MAX(0, (219131 - 188133.8) / 28692.0764630237), 188133.8)</f>
        <v>188133.8</v>
      </c>
      <c r="BL182">
        <f>IF($BL$3="yes", MAX(0, (219131 - 183610.4) / 60887.9215234023), 183610.4)</f>
        <v>183610.4</v>
      </c>
      <c r="BM182">
        <f>IF($BL$3="yes", MAX(0, (219131 - 288227.25) / 194167.652618008), 288227.25)</f>
        <v>288227.25</v>
      </c>
      <c r="BN182">
        <f>IF($BL$3="yes", MAX(0, (219131 - 347247.84) / 304491.002559902), 347247.84)</f>
        <v>347247.84</v>
      </c>
      <c r="BO182">
        <f>IF($BL$3="yes", MAX(0, (219131 - 889598.59) / 2281267.23055295), 889598.59)</f>
        <v>889598.59</v>
      </c>
      <c r="BP182">
        <f>IF($BL$3="yes", MAX(0, (219131 - 1356304.79473684) / 4873855.28917025), 1356304.79473684)</f>
        <v>1356304.7947368401</v>
      </c>
      <c r="BQ182">
        <v>52.916331309710863</v>
      </c>
      <c r="BT182">
        <v>-877126.78570937074</v>
      </c>
      <c r="BU182">
        <v>70019.607446584036</v>
      </c>
      <c r="BV182">
        <f>IF($Z$3="yes", 0.324518970018548/$X182, 0.324518970018548)</f>
        <v>6.1813137146390099E-2</v>
      </c>
      <c r="BW182">
        <f>IF($Z$3="yes", 0.465289173549411/$X182, 0.465289173549411)</f>
        <v>8.8626509247506854E-2</v>
      </c>
      <c r="BX182">
        <f>$BW$189 - $BV$189</f>
        <v>2.1667394644702881E-2</v>
      </c>
    </row>
    <row r="183" spans="1:95" ht="15.75" customHeight="1" thickBot="1" x14ac:dyDescent="0.3">
      <c r="A183" s="58" t="s">
        <v>745</v>
      </c>
      <c r="B183" s="23" t="s">
        <v>128</v>
      </c>
      <c r="C183" s="53">
        <v>0</v>
      </c>
      <c r="D183" s="31" t="s">
        <v>142</v>
      </c>
      <c r="E183" s="27"/>
      <c r="F183" s="32">
        <v>1.43</v>
      </c>
      <c r="G183" s="33">
        <v>44375</v>
      </c>
      <c r="H183" s="323">
        <v>0.81499999999999995</v>
      </c>
      <c r="I183" s="323">
        <v>1.5</v>
      </c>
      <c r="J183" s="324">
        <v>44376</v>
      </c>
      <c r="K183" s="35">
        <f t="shared" si="10"/>
        <v>-0.43006993006993011</v>
      </c>
      <c r="L183" s="35">
        <f t="shared" si="11"/>
        <v>4.8951048951048959E-2</v>
      </c>
      <c r="M183" s="322">
        <v>44407</v>
      </c>
      <c r="N183" s="54"/>
      <c r="O183" s="55">
        <v>65871892</v>
      </c>
      <c r="P183" s="55">
        <v>23310000</v>
      </c>
      <c r="Q183" s="55">
        <v>1</v>
      </c>
      <c r="R183" s="54" t="s">
        <v>143</v>
      </c>
      <c r="S183" s="55" t="s">
        <v>135</v>
      </c>
      <c r="T183" s="54" t="s">
        <v>144</v>
      </c>
      <c r="U183" s="54">
        <v>128</v>
      </c>
      <c r="V183" s="54">
        <v>449739</v>
      </c>
      <c r="W183" s="54"/>
      <c r="X183" s="54">
        <v>1.43</v>
      </c>
      <c r="Y183" s="54">
        <v>1.8168979999999999</v>
      </c>
      <c r="Z183" s="54">
        <v>2.0297000000000009</v>
      </c>
      <c r="AA183" s="54">
        <v>1.4862</v>
      </c>
      <c r="AB183" s="54">
        <v>1.727399999999998</v>
      </c>
      <c r="AC183" s="54">
        <v>1.3845000000000001</v>
      </c>
      <c r="AD183" s="54">
        <v>1.395</v>
      </c>
      <c r="AE183" s="54">
        <v>1.3412500000000001</v>
      </c>
      <c r="AF183" s="54">
        <f>IF($Z$3="yes", 0.00211067861696545/$X183, 0.00211067861696545)</f>
        <v>1.475999032842972E-3</v>
      </c>
      <c r="AG183" s="54">
        <f>IF($Z$3="yes", -0.017992499249925/$X183, -0.017992499249925)</f>
        <v>-1.258216730763986E-2</v>
      </c>
      <c r="AH183" s="54">
        <f>IF($Z$3="yes", -0.0118852340936373/$X183, -0.0118852340936373)</f>
        <v>-8.3113525130330771E-3</v>
      </c>
      <c r="AI183" s="54">
        <f>IF($Z$3="yes", -0.0291385354141658/$X183, -0.0291385354141658)</f>
        <v>-2.0376598191724337E-2</v>
      </c>
      <c r="AJ183" s="54">
        <f>IF($Z$3="yes", -0.00146616541353383/$X183, -0.00146616541353383)</f>
        <v>-1.0252904989747063E-3</v>
      </c>
      <c r="AK183" s="54">
        <f>IF($Z$3="yes", -0.0110109890109887/$X183, -0.0110109890109887)</f>
        <v>-7.6999923153767136E-3</v>
      </c>
      <c r="AL183" s="54">
        <f>IF($Z$3="yes", 0.018214285714286/$X183, 0.018214285714286)</f>
        <v>1.2737262737262937E-2</v>
      </c>
      <c r="AM183" s="54">
        <f>IF($Z$3="yes", 0.212802/$X183, 0.212802)</f>
        <v>0.1488125874125874</v>
      </c>
      <c r="AN183" s="54">
        <f>IF($Z$3="yes", 0.330698/$X183, 0.330698)</f>
        <v>0.23125734265734266</v>
      </c>
      <c r="AO183" s="54">
        <f>IF($Z$3="yes", 0.0894980000000016/$X183, 0.0894980000000016)</f>
        <v>6.2586013986015113E-2</v>
      </c>
      <c r="AP183" s="54">
        <f>IF($Z$3="yes", 0.432398/$X183, 0.432398)</f>
        <v>0.30237622377622381</v>
      </c>
      <c r="AQ183" s="54">
        <f>IF($Z$3="yes", 0.421898/$X183, 0.421898)</f>
        <v>0.29503356643356643</v>
      </c>
      <c r="AR183" s="54">
        <f>IF($Z$3="yes", 0.475647999999999/$X183, 0.475647999999999)</f>
        <v>0.33262097902097837</v>
      </c>
      <c r="AS183" s="54">
        <f>IF($Z$3="yes", 0.543500000000001/$X183, 0.543500000000001)</f>
        <v>0.38006993006993078</v>
      </c>
      <c r="AT183" s="54">
        <f>IF($Z$3="yes", 0.302300000000002/$X183, 0.302300000000002)</f>
        <v>0.21139860139860281</v>
      </c>
      <c r="AU183" s="56">
        <f>IF($Z$3="yes", 0.6452/$X183, 0.6452)</f>
        <v>0.45118881118881121</v>
      </c>
      <c r="AV183" s="56">
        <f>IF($Z$3="yes", 0.6347/$X183, 0.6347)</f>
        <v>0.44384615384615389</v>
      </c>
      <c r="AW183" s="56">
        <f>IF($Z$3="yes", 0.68845/$X183, 0.68845)</f>
        <v>0.48143356643356644</v>
      </c>
      <c r="AX183" s="56">
        <f>IF($Z$3="yes", 0.241199999999998/$X183, 0.241199999999998)</f>
        <v>0.16867132867132728</v>
      </c>
      <c r="AY183" s="56">
        <f>IF($Z$3="yes", 0.342899999999998/$X183, 0.342899999999998)</f>
        <v>0.2397902097902084</v>
      </c>
      <c r="AZ183" s="56">
        <f>IF($Z$3="yes", 0.332399999999998/$X183, 0.332399999999998)</f>
        <v>0.23244755244755105</v>
      </c>
      <c r="BA183" s="56">
        <f>IF($Z$3="yes", 0.386149999999998/$X183, 0.386149999999998)</f>
        <v>0.27003496503496366</v>
      </c>
      <c r="BB183" s="56">
        <f>IF($Z$3="yes", 0.101699999999999/$X183, 0.101699999999999)</f>
        <v>7.1118881118880428E-2</v>
      </c>
      <c r="BC183" s="56">
        <f>IF($Z$3="yes", 0.0911999999999997/$X183, 0.0911999999999997)</f>
        <v>6.3776223776223565E-2</v>
      </c>
      <c r="BD183" s="56">
        <f>IF($Z$3="yes", 0.144949999999999/$X183, 0.144949999999999)</f>
        <v>0.10136363636363567</v>
      </c>
      <c r="BE183" s="56">
        <f>IF($Z$3="yes", 0.0104999999999997/$X183, 0.0104999999999997)</f>
        <v>7.3426573426571334E-3</v>
      </c>
      <c r="BF183" s="56">
        <f>IF($Z$3="yes", 0.0432499999999997/$X183, 0.0432499999999997)</f>
        <v>3.0244755244755034E-2</v>
      </c>
      <c r="BG183" s="56">
        <f>IF($Z$3="yes", 0.0537499999999995/$X183, 0.0537499999999995)</f>
        <v>3.7587412587412238E-2</v>
      </c>
      <c r="BH183" s="56">
        <f>IF($Z$3="yes", 0.415135333333333/$X183, 0.415135333333333)</f>
        <v>0.2903044289044287</v>
      </c>
      <c r="BK183">
        <f>IF($BL$3="yes", MAX(0, (449739 - 457869.6) / 330078.042842961), 457869.6)</f>
        <v>457869.6</v>
      </c>
      <c r="BL183">
        <f>IF($BL$3="yes", MAX(0, (449739 - 380536.4) / 262181.345432584), 380536.4)</f>
        <v>380536.4</v>
      </c>
      <c r="BM183">
        <f>IF($BL$3="yes", MAX(0, (449739 - 487597.25) / 388252.188328652), 487597.25)</f>
        <v>487597.25</v>
      </c>
      <c r="BN183">
        <f>IF($BL$3="yes", MAX(0, (449739 - 1061134.54) / 2253362.20348349), 1061134.54)</f>
        <v>1061134.54</v>
      </c>
      <c r="BO183">
        <f>IF($BL$3="yes", MAX(0, (449739 - 2642646.88) / 3406798.40460917), 2642646.88)</f>
        <v>2642646.88</v>
      </c>
      <c r="BP183">
        <f>IF($BL$3="yes", MAX(0, (449739 - 3243091.205) / 11651177.17474), 3243091.205)</f>
        <v>3243091.2050000001</v>
      </c>
      <c r="BQ183">
        <v>56.250405099687697</v>
      </c>
      <c r="BT183">
        <v>3013568.9536134298</v>
      </c>
      <c r="BU183">
        <v>371305.44567478908</v>
      </c>
      <c r="BV183">
        <f>IF($Z$3="yes", 0.103610309249556/$X183, 0.103610309249556)</f>
        <v>7.2454761712976226E-2</v>
      </c>
      <c r="BW183">
        <f>IF($Z$3="yes", 0.190621394470929/$X183, 0.190621394470929)</f>
        <v>0.13330167445519511</v>
      </c>
      <c r="BX183">
        <f>$BW$185 - $BV$185</f>
        <v>7.2895059293001011E-2</v>
      </c>
    </row>
    <row r="184" spans="1:95" ht="15.75" customHeight="1" thickBot="1" x14ac:dyDescent="0.3">
      <c r="A184" s="28" t="s">
        <v>745</v>
      </c>
      <c r="B184" s="23" t="s">
        <v>128</v>
      </c>
      <c r="C184" s="30">
        <v>0</v>
      </c>
      <c r="D184" s="31" t="s">
        <v>883</v>
      </c>
      <c r="E184" s="27"/>
      <c r="F184" s="32">
        <v>5.72</v>
      </c>
      <c r="G184" s="33">
        <v>44375</v>
      </c>
      <c r="H184" s="323">
        <v>9.81</v>
      </c>
      <c r="I184" s="323">
        <v>10.157999999999999</v>
      </c>
      <c r="J184" s="324">
        <v>44386</v>
      </c>
      <c r="K184" s="35">
        <f t="shared" si="10"/>
        <v>0.71503496503496522</v>
      </c>
      <c r="L184" s="35">
        <f t="shared" si="11"/>
        <v>0.77587412587412596</v>
      </c>
      <c r="M184" s="322">
        <v>44407</v>
      </c>
      <c r="N184" s="54"/>
      <c r="O184" s="55">
        <v>38573437</v>
      </c>
      <c r="P184" s="55">
        <v>37630000</v>
      </c>
      <c r="Q184" s="55">
        <v>11</v>
      </c>
      <c r="R184" s="54" t="s">
        <v>131</v>
      </c>
      <c r="S184" s="55" t="s">
        <v>148</v>
      </c>
      <c r="T184" s="54" t="s">
        <v>217</v>
      </c>
      <c r="U184" s="54">
        <v>64</v>
      </c>
      <c r="V184" s="54">
        <v>1100329</v>
      </c>
      <c r="W184" s="54"/>
      <c r="X184" s="54">
        <v>5.75</v>
      </c>
      <c r="Y184" s="54" t="e">
        <v>#N/A</v>
      </c>
      <c r="Z184" s="54" t="e">
        <v>#N/A</v>
      </c>
      <c r="AA184" s="54">
        <v>5.6155999999999997</v>
      </c>
      <c r="AB184" s="54">
        <v>6.4411999999999976</v>
      </c>
      <c r="AC184" s="54">
        <v>5.2815000000000012</v>
      </c>
      <c r="AD184" s="54">
        <v>5.2428571428571429</v>
      </c>
      <c r="AE184" s="54">
        <v>5.1012500000000003</v>
      </c>
      <c r="AF184" s="54" t="e">
        <f>IF($Z$3="yes", #N/A/$X184, #N/A)</f>
        <v>#N/A</v>
      </c>
      <c r="AG184" s="54" t="e">
        <f>IF($Z$3="yes", #N/A/$X184, #N/A)</f>
        <v>#N/A</v>
      </c>
      <c r="AH184" s="54">
        <f>IF($Z$3="yes", -0.0352240096038416/$X184, -0.0352240096038416)</f>
        <v>-6.1259147137115834E-3</v>
      </c>
      <c r="AI184" s="54">
        <f>IF($Z$3="yes", -0.0918540216086423/$X184, -0.0918540216086423)</f>
        <v>-1.5974612453676922E-2</v>
      </c>
      <c r="AJ184" s="54">
        <f>IF($Z$3="yes", -0.0111503759398492/$X184, -0.0111503759398492)</f>
        <v>-1.939195815625948E-3</v>
      </c>
      <c r="AK184" s="54">
        <f>IF($Z$3="yes", -0.0223296703296708/$X184, -0.0223296703296708)</f>
        <v>-3.8834209268992699E-3</v>
      </c>
      <c r="AL184" s="54">
        <f>IF($Z$3="yes", 0.103452380952377/$X184, 0.103452380952377)</f>
        <v>1.7991718426500346E-2</v>
      </c>
      <c r="AM184" s="54"/>
      <c r="AN184" s="54"/>
      <c r="AO184" s="54"/>
      <c r="AP184" s="54"/>
      <c r="AQ184" s="54"/>
      <c r="AR184" s="54"/>
      <c r="AS184" s="54"/>
      <c r="AT184" s="54"/>
      <c r="AU184" s="56"/>
      <c r="AV184" s="56"/>
      <c r="AW184" s="56"/>
      <c r="AX184" s="56">
        <f>IF($Z$3="yes", 0.825599999999997/$X184, 0.825599999999997)</f>
        <v>0.14358260869565165</v>
      </c>
      <c r="AY184" s="56">
        <f>IF($Z$3="yes", 1.15969999999999/$X184, 1.15969999999999)</f>
        <v>0.20168695652173738</v>
      </c>
      <c r="AZ184" s="56">
        <f>IF($Z$3="yes", 1.19834285714285/$X184, 1.19834285714285)</f>
        <v>0.20840745341614783</v>
      </c>
      <c r="BA184" s="56">
        <f>IF($Z$3="yes", 1.33994999999999/$X184, 1.33994999999999)</f>
        <v>0.2330347826086939</v>
      </c>
      <c r="BB184" s="56">
        <f>IF($Z$3="yes", 0.334099999999998/$X184, 0.334099999999998)</f>
        <v>5.8104347826086609E-2</v>
      </c>
      <c r="BC184" s="56">
        <f>IF($Z$3="yes", 0.372742857142856/$X184, 0.372742857142856)</f>
        <v>6.4824844720496697E-2</v>
      </c>
      <c r="BD184" s="56">
        <f>IF($Z$3="yes", 0.514349999999999/$X184, 0.514349999999999)</f>
        <v>8.9452173913043304E-2</v>
      </c>
      <c r="BE184" s="56">
        <f>IF($Z$3="yes", 0.0386428571428583/$X184, 0.0386428571428583)</f>
        <v>6.7204968944101382E-3</v>
      </c>
      <c r="BF184" s="56">
        <f>IF($Z$3="yes", 0.18025/$X184, 0.18025)</f>
        <v>3.1347826086956521E-2</v>
      </c>
      <c r="BG184" s="56">
        <f>IF($Z$3="yes", 0.141607142857142/$X184, 0.141607142857142)</f>
        <v>2.4627329192546434E-2</v>
      </c>
      <c r="BH184" s="56">
        <f>IF($Z$3="yes", 0.783304421768707/$X184, 0.783304421768707)</f>
        <v>0.13622685595977513</v>
      </c>
      <c r="BI184" s="29"/>
      <c r="BJ184" s="29"/>
      <c r="BK184" s="29">
        <f>IF($BL$3="yes", MAX(0, (1100329 - 703405.4) / 513634.861562413), 703405.4)</f>
        <v>703405.4</v>
      </c>
      <c r="BL184" s="29">
        <f>IF($BL$3="yes", MAX(0, (1100329 - 572295.7) / 386938.637421245), 572295.7)</f>
        <v>572295.69999999995</v>
      </c>
      <c r="BM184" s="29">
        <f>IF($BL$3="yes", MAX(0, (1100329 - 574447.3) / 297440.333270909), 574447.3)</f>
        <v>574447.30000000005</v>
      </c>
      <c r="BN184" s="29">
        <f>IF($BL$3="yes", MAX(0, (1100329 - 2489915.46) / 12159486.2655383), 2489915.46)</f>
        <v>2489915.46</v>
      </c>
      <c r="BO184" s="29">
        <f>IF($BL$3="yes", MAX(0, (1100329 - 1646267.93939393) / 8749420.4422949), 1646267.93939393)</f>
        <v>1646267.9393939299</v>
      </c>
      <c r="BP184" s="29">
        <f>IF($BL$3="yes", MAX(0, (1100329 - 1646267.93939393) / 8749420.4422949), 1646267.93939393)</f>
        <v>1646267.9393939299</v>
      </c>
      <c r="BQ184" s="29">
        <v>60.056886304396578</v>
      </c>
      <c r="BR184" s="29"/>
      <c r="BS184" s="29"/>
      <c r="BT184" s="29">
        <v>2098784.936460773</v>
      </c>
      <c r="BU184" s="29">
        <v>699838.61860995297</v>
      </c>
      <c r="BV184" s="29">
        <f>IF($Z$3="yes", 0.493778021256737/$X184, 0.493778021256737)</f>
        <v>8.5874438479432519E-2</v>
      </c>
      <c r="BW184" s="29">
        <f>IF($Z$3="yes", 0.919820646993025/$X184, 0.919820646993025)</f>
        <v>0.15996880817270001</v>
      </c>
      <c r="BX184" s="29">
        <f>$BW$178 - $BV$178</f>
        <v>4.0812258482401005E-2</v>
      </c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</row>
    <row r="185" spans="1:95" ht="15.75" customHeight="1" thickBot="1" x14ac:dyDescent="0.3">
      <c r="A185" s="28" t="s">
        <v>745</v>
      </c>
      <c r="B185" s="23" t="s">
        <v>128</v>
      </c>
      <c r="C185" s="30">
        <v>3</v>
      </c>
      <c r="D185" s="31" t="s">
        <v>191</v>
      </c>
      <c r="E185" s="27"/>
      <c r="F185" s="32">
        <v>4.97</v>
      </c>
      <c r="G185" s="33">
        <v>44375</v>
      </c>
      <c r="H185" s="323">
        <v>4.34</v>
      </c>
      <c r="I185" s="323">
        <v>5.34</v>
      </c>
      <c r="J185" s="324">
        <v>44392</v>
      </c>
      <c r="K185" s="35">
        <f t="shared" si="10"/>
        <v>-0.12676056338028163</v>
      </c>
      <c r="L185" s="35">
        <f t="shared" si="11"/>
        <v>7.444668008048283E-2</v>
      </c>
      <c r="M185" s="322">
        <v>44407</v>
      </c>
      <c r="N185" s="54"/>
      <c r="O185" s="55">
        <v>20444712</v>
      </c>
      <c r="P185" s="55">
        <v>14320000</v>
      </c>
      <c r="Q185" s="55">
        <v>17</v>
      </c>
      <c r="R185" s="54" t="s">
        <v>152</v>
      </c>
      <c r="S185" s="55" t="s">
        <v>192</v>
      </c>
      <c r="T185" s="54" t="s">
        <v>193</v>
      </c>
      <c r="U185" s="54">
        <v>88</v>
      </c>
      <c r="V185" s="54">
        <v>454076</v>
      </c>
      <c r="W185" s="54"/>
      <c r="X185" s="54">
        <v>4.97</v>
      </c>
      <c r="Y185" s="54" t="e">
        <v>#N/A</v>
      </c>
      <c r="Z185" s="54">
        <v>5.7569500000000007</v>
      </c>
      <c r="AA185" s="54">
        <v>5.1345000000000027</v>
      </c>
      <c r="AB185" s="54">
        <v>5.5932999999999993</v>
      </c>
      <c r="AC185" s="54">
        <v>5.0490000000000013</v>
      </c>
      <c r="AD185" s="54">
        <v>5.0107142857142861</v>
      </c>
      <c r="AE185" s="54">
        <v>4.7737500000000006</v>
      </c>
      <c r="AF185" s="54" t="e">
        <f>IF($Z$3="yes", #N/A/$X185, #N/A)</f>
        <v>#N/A</v>
      </c>
      <c r="AG185" s="54">
        <f>IF($Z$3="yes", -0.00969417941794185/$X185, -0.00969417941794185)</f>
        <v>-1.9505391182981591E-3</v>
      </c>
      <c r="AH185" s="54">
        <f>IF($Z$3="yes", -0.0180156062424972/$X185, -0.0180156062424972)</f>
        <v>-3.6248704713274043E-3</v>
      </c>
      <c r="AI185" s="54">
        <f>IF($Z$3="yes", -0.0501260504201681/$X185, -0.0501260504201681)</f>
        <v>-1.0085724430617324E-2</v>
      </c>
      <c r="AJ185" s="54">
        <f>IF($Z$3="yes", -0.0316842105263159/$X185, -0.0316842105263159)</f>
        <v>-6.3750926612305631E-3</v>
      </c>
      <c r="AK185" s="54">
        <f>IF($Z$3="yes", -0.0624835164835176/$X185, -0.0624835164835176)</f>
        <v>-1.2572136113383823E-2</v>
      </c>
      <c r="AL185" s="54">
        <f>IF($Z$3="yes", 0.0198809523809512/$X185, 0.0198809523809512)</f>
        <v>4.0001916259459159E-3</v>
      </c>
      <c r="AM185" s="54"/>
      <c r="AN185" s="54"/>
      <c r="AO185" s="54"/>
      <c r="AP185" s="54"/>
      <c r="AQ185" s="54"/>
      <c r="AR185" s="54"/>
      <c r="AS185" s="54">
        <f>IF($Z$3="yes", 0.622449999999998/$X185, 0.622449999999998)</f>
        <v>0.12524144869215251</v>
      </c>
      <c r="AT185" s="54">
        <f>IF($Z$3="yes", 0.163650000000001/$X185, 0.163650000000001)</f>
        <v>3.2927565392354328E-2</v>
      </c>
      <c r="AU185" s="56">
        <f>IF($Z$3="yes", 0.707949999999999/$X185, 0.707949999999999)</f>
        <v>0.14244466800804809</v>
      </c>
      <c r="AV185" s="56">
        <f>IF($Z$3="yes", 0.746235714285714/$X185, 0.746235714285714)</f>
        <v>0.15014803104340324</v>
      </c>
      <c r="AW185" s="56">
        <f>IF($Z$3="yes", 0.9832/$X185, 0.9832)</f>
        <v>0.19782696177062375</v>
      </c>
      <c r="AX185" s="56">
        <f>IF($Z$3="yes", 0.458799999999996/$X185, 0.458799999999996)</f>
        <v>9.2313883299797991E-2</v>
      </c>
      <c r="AY185" s="56">
        <f>IF($Z$3="yes", 0.544299999999998/$X185, 0.544299999999998)</f>
        <v>0.10951710261569376</v>
      </c>
      <c r="AZ185" s="56">
        <f>IF($Z$3="yes", 0.582585714285713/$X185, 0.582585714285713)</f>
        <v>0.11722046565104891</v>
      </c>
      <c r="BA185" s="56">
        <f>IF($Z$3="yes", 0.819549999999998/$X185, 0.819549999999998)</f>
        <v>0.16489939637826923</v>
      </c>
      <c r="BB185" s="56">
        <f>IF($Z$3="yes", 0.0855000000000014/$X185, 0.0855000000000014)</f>
        <v>1.7203219315895652E-2</v>
      </c>
      <c r="BC185" s="56">
        <f>IF($Z$3="yes", 0.123785714285716/$X185, 0.123785714285716)</f>
        <v>2.4906582351250706E-2</v>
      </c>
      <c r="BD185" s="56">
        <f>IF($Z$3="yes", 0.360750000000002/$X185, 0.360750000000002)</f>
        <v>7.2585513078471234E-2</v>
      </c>
      <c r="BE185" s="56">
        <f>IF($Z$3="yes", 0.0382857142857151/$X185, 0.0382857142857151)</f>
        <v>7.7033630353551515E-3</v>
      </c>
      <c r="BF185" s="56">
        <f>IF($Z$3="yes", 0.27525/$X185, 0.27525)</f>
        <v>5.5382293762575453E-2</v>
      </c>
      <c r="BG185" s="56">
        <f>IF($Z$3="yes", 0.236964285714285/$X185, 0.236964285714285)</f>
        <v>4.767893072722032E-2</v>
      </c>
      <c r="BH185" s="56">
        <f>IF($Z$3="yes", 0.78732006802721/$X185, 0.78732006802721)</f>
        <v>0.15841450060909659</v>
      </c>
      <c r="BI185" s="29"/>
      <c r="BJ185" s="29"/>
      <c r="BK185" s="29">
        <f>IF($BL$3="yes", MAX(0, (454076 - 592952.2) / 384390.339353839), 592952.2)</f>
        <v>592952.19999999995</v>
      </c>
      <c r="BL185" s="29">
        <f>IF($BL$3="yes", MAX(0, (454076 - 558798.2) / 286849.677243953), 558798.2)</f>
        <v>558798.19999999995</v>
      </c>
      <c r="BM185" s="29">
        <f>IF($BL$3="yes", MAX(0, (454076 - 1329582.2) / 1365926.65299893), 1329582.2)</f>
        <v>1329582.2</v>
      </c>
      <c r="BN185" s="29">
        <f>IF($BL$3="yes", MAX(0, (454076 - 1602633) / 2043971.32720544), 1602633)</f>
        <v>1602633</v>
      </c>
      <c r="BO185" s="29">
        <f>IF($BL$3="yes", MAX(0, (454076 - 4896672.75) / 14699210.5761805), 4896672.75)</f>
        <v>4896672.75</v>
      </c>
      <c r="BP185" s="29">
        <f>IF($BL$3="yes", MAX(0, (454076 - 4186433.31343283) / 12992424.6103746), 4186433.31343283)</f>
        <v>4186433.3134328299</v>
      </c>
      <c r="BQ185" s="29">
        <v>42.119991103040242</v>
      </c>
      <c r="BR185" s="29"/>
      <c r="BS185" s="29"/>
      <c r="BT185" s="29">
        <v>1055979.4984976789</v>
      </c>
      <c r="BU185" s="29">
        <v>66912.781110522803</v>
      </c>
      <c r="BV185" s="29">
        <f>IF($Z$3="yes", 0.488350905547316/$X185, 0.488350905547316)</f>
        <v>9.8259739546743677E-2</v>
      </c>
      <c r="BW185" s="29">
        <f>IF($Z$3="yes", 0.850639350233531/$X185, 0.850639350233531)</f>
        <v>0.17115479883974469</v>
      </c>
      <c r="BX185" s="29">
        <f>$BW$179 - $BV$179</f>
        <v>3.6587722707167938E-2</v>
      </c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</row>
    <row r="186" spans="1:95" ht="15.75" customHeight="1" thickBot="1" x14ac:dyDescent="0.3">
      <c r="A186" s="28" t="s">
        <v>745</v>
      </c>
      <c r="B186" s="23" t="s">
        <v>128</v>
      </c>
      <c r="C186" s="53">
        <v>3</v>
      </c>
      <c r="D186" s="31" t="s">
        <v>191</v>
      </c>
      <c r="E186" s="334"/>
      <c r="F186" s="32">
        <v>4.97</v>
      </c>
      <c r="G186" s="33">
        <v>44375</v>
      </c>
      <c r="H186" s="323">
        <v>4.34</v>
      </c>
      <c r="I186" s="323">
        <v>5.34</v>
      </c>
      <c r="J186" s="324">
        <v>44392</v>
      </c>
      <c r="K186" s="35">
        <f t="shared" si="10"/>
        <v>-0.12676056338028163</v>
      </c>
      <c r="L186" s="35">
        <f t="shared" si="11"/>
        <v>7.444668008048283E-2</v>
      </c>
      <c r="M186" s="322">
        <v>44407</v>
      </c>
      <c r="N186" s="54"/>
      <c r="O186" s="55">
        <v>20444712</v>
      </c>
      <c r="P186" s="55">
        <v>14320000</v>
      </c>
      <c r="Q186" s="55">
        <v>17</v>
      </c>
      <c r="R186" s="54" t="s">
        <v>152</v>
      </c>
      <c r="S186" s="55" t="s">
        <v>192</v>
      </c>
      <c r="T186" s="54" t="s">
        <v>193</v>
      </c>
      <c r="U186" s="54">
        <v>88</v>
      </c>
      <c r="V186" s="54">
        <v>454076</v>
      </c>
      <c r="W186" s="54"/>
      <c r="X186" s="54">
        <v>4.97</v>
      </c>
      <c r="Y186" s="54" t="e">
        <v>#N/A</v>
      </c>
      <c r="Z186" s="54">
        <v>5.7569500000000007</v>
      </c>
      <c r="AA186" s="54">
        <v>5.1345000000000027</v>
      </c>
      <c r="AB186" s="54">
        <v>5.5932999999999993</v>
      </c>
      <c r="AC186" s="54">
        <v>5.0490000000000013</v>
      </c>
      <c r="AD186" s="54">
        <v>5.0107142857142861</v>
      </c>
      <c r="AE186" s="54">
        <v>4.7737500000000006</v>
      </c>
      <c r="AF186" s="54" t="e">
        <f>IF($Z$3="yes", #N/A/$X186, #N/A)</f>
        <v>#N/A</v>
      </c>
      <c r="AG186" s="54">
        <f>IF($Z$3="yes", -0.00969417941794185/$X186, -0.00969417941794185)</f>
        <v>-1.9505391182981591E-3</v>
      </c>
      <c r="AH186" s="54">
        <f>IF($Z$3="yes", -0.0180156062424972/$X186, -0.0180156062424972)</f>
        <v>-3.6248704713274043E-3</v>
      </c>
      <c r="AI186" s="54">
        <f>IF($Z$3="yes", -0.0501260504201681/$X186, -0.0501260504201681)</f>
        <v>-1.0085724430617324E-2</v>
      </c>
      <c r="AJ186" s="54">
        <f>IF($Z$3="yes", -0.0316842105263159/$X186, -0.0316842105263159)</f>
        <v>-6.3750926612305631E-3</v>
      </c>
      <c r="AK186" s="54">
        <f>IF($Z$3="yes", -0.0624835164835176/$X186, -0.0624835164835176)</f>
        <v>-1.2572136113383823E-2</v>
      </c>
      <c r="AL186" s="54">
        <f>IF($Z$3="yes", 0.0198809523809512/$X186, 0.0198809523809512)</f>
        <v>4.0001916259459159E-3</v>
      </c>
      <c r="AM186" s="54"/>
      <c r="AN186" s="54"/>
      <c r="AO186" s="54"/>
      <c r="AP186" s="54"/>
      <c r="AQ186" s="54"/>
      <c r="AR186" s="54"/>
      <c r="AS186" s="54">
        <f>IF($Z$3="yes", 0.622449999999998/$X186, 0.622449999999998)</f>
        <v>0.12524144869215251</v>
      </c>
      <c r="AT186" s="54">
        <f>IF($Z$3="yes", 0.163650000000001/$X186, 0.163650000000001)</f>
        <v>3.2927565392354328E-2</v>
      </c>
      <c r="AU186" s="56">
        <f>IF($Z$3="yes", 0.707949999999999/$X186, 0.707949999999999)</f>
        <v>0.14244466800804809</v>
      </c>
      <c r="AV186" s="56">
        <f>IF($Z$3="yes", 0.746235714285714/$X186, 0.746235714285714)</f>
        <v>0.15014803104340324</v>
      </c>
      <c r="AW186" s="56">
        <f>IF($Z$3="yes", 0.9832/$X186, 0.9832)</f>
        <v>0.19782696177062375</v>
      </c>
      <c r="AX186" s="56">
        <f>IF($Z$3="yes", 0.458799999999996/$X186, 0.458799999999996)</f>
        <v>9.2313883299797991E-2</v>
      </c>
      <c r="AY186" s="56">
        <f>IF($Z$3="yes", 0.544299999999998/$X186, 0.544299999999998)</f>
        <v>0.10951710261569376</v>
      </c>
      <c r="AZ186" s="56">
        <f>IF($Z$3="yes", 0.582585714285713/$X186, 0.582585714285713)</f>
        <v>0.11722046565104891</v>
      </c>
      <c r="BA186" s="56">
        <f>IF($Z$3="yes", 0.819549999999998/$X186, 0.819549999999998)</f>
        <v>0.16489939637826923</v>
      </c>
      <c r="BB186" s="56">
        <f>IF($Z$3="yes", 0.0855000000000014/$X186, 0.0855000000000014)</f>
        <v>1.7203219315895652E-2</v>
      </c>
      <c r="BC186" s="56">
        <f>IF($Z$3="yes", 0.123785714285716/$X186, 0.123785714285716)</f>
        <v>2.4906582351250706E-2</v>
      </c>
      <c r="BD186" s="56">
        <f>IF($Z$3="yes", 0.360750000000002/$X186, 0.360750000000002)</f>
        <v>7.2585513078471234E-2</v>
      </c>
      <c r="BE186" s="56">
        <f>IF($Z$3="yes", 0.0382857142857151/$X186, 0.0382857142857151)</f>
        <v>7.7033630353551515E-3</v>
      </c>
      <c r="BF186" s="56">
        <f>IF($Z$3="yes", 0.27525/$X186, 0.27525)</f>
        <v>5.5382293762575453E-2</v>
      </c>
      <c r="BG186" s="56">
        <f>IF($Z$3="yes", 0.236964285714285/$X186, 0.236964285714285)</f>
        <v>4.767893072722032E-2</v>
      </c>
      <c r="BH186" s="56">
        <f>IF($Z$3="yes", 0.78732006802721/$X186, 0.78732006802721)</f>
        <v>0.15841450060909659</v>
      </c>
      <c r="BK186">
        <f>IF($BL$3="yes", MAX(0, (454076 - 592952.2) / 384390.339353839), 592952.2)</f>
        <v>592952.19999999995</v>
      </c>
      <c r="BL186">
        <f>IF($BL$3="yes", MAX(0, (454076 - 558798.2) / 286849.677243953), 558798.2)</f>
        <v>558798.19999999995</v>
      </c>
      <c r="BM186">
        <f>IF($BL$3="yes", MAX(0, (454076 - 1329582.2) / 1365926.65299893), 1329582.2)</f>
        <v>1329582.2</v>
      </c>
      <c r="BN186">
        <f>IF($BL$3="yes", MAX(0, (454076 - 1602633) / 2043971.32720544), 1602633)</f>
        <v>1602633</v>
      </c>
      <c r="BO186">
        <f>IF($BL$3="yes", MAX(0, (454076 - 4896672.75) / 14699210.5761805), 4896672.75)</f>
        <v>4896672.75</v>
      </c>
      <c r="BP186">
        <f>IF($BL$3="yes", MAX(0, (454076 - 4186433.31343283) / 12992424.6103746), 4186433.31343283)</f>
        <v>4186433.3134328299</v>
      </c>
      <c r="BQ186">
        <v>42.119991103040242</v>
      </c>
      <c r="BT186">
        <v>1055979.4984976789</v>
      </c>
      <c r="BU186">
        <v>66912.781110522803</v>
      </c>
      <c r="BV186">
        <f>IF($Z$3="yes", 0.488350905547316/$X186, 0.488350905547316)</f>
        <v>9.8259739546743677E-2</v>
      </c>
      <c r="BW186">
        <f>IF($Z$3="yes", 0.850639350233531/$X186, 0.850639350233531)</f>
        <v>0.17115479883974469</v>
      </c>
      <c r="BX186">
        <f>$BW$184 - $BV$184</f>
        <v>7.4094369693267492E-2</v>
      </c>
    </row>
    <row r="187" spans="1:95" ht="15.75" customHeight="1" thickBot="1" x14ac:dyDescent="0.3">
      <c r="A187" s="28" t="s">
        <v>745</v>
      </c>
      <c r="B187" s="23" t="s">
        <v>128</v>
      </c>
      <c r="C187" s="53">
        <v>1</v>
      </c>
      <c r="D187" s="31" t="s">
        <v>400</v>
      </c>
      <c r="E187" s="27"/>
      <c r="F187" s="32">
        <v>1.43</v>
      </c>
      <c r="G187" s="33">
        <v>44375</v>
      </c>
      <c r="H187" s="323">
        <v>1.3</v>
      </c>
      <c r="I187" s="323">
        <v>3.64</v>
      </c>
      <c r="J187" s="324">
        <v>44383</v>
      </c>
      <c r="K187" s="35">
        <f t="shared" si="10"/>
        <v>-9.0909090909090828E-2</v>
      </c>
      <c r="L187" s="35">
        <f t="shared" si="11"/>
        <v>1.5454545454545459</v>
      </c>
      <c r="M187" s="322">
        <v>44407</v>
      </c>
      <c r="N187" s="54"/>
      <c r="O187" s="55">
        <v>9175288</v>
      </c>
      <c r="P187" s="55">
        <v>7900000</v>
      </c>
      <c r="Q187" s="55">
        <v>8</v>
      </c>
      <c r="R187" s="54" t="s">
        <v>152</v>
      </c>
      <c r="S187" s="55" t="s">
        <v>135</v>
      </c>
      <c r="T187" s="54" t="s">
        <v>133</v>
      </c>
      <c r="U187" s="54">
        <v>52</v>
      </c>
      <c r="V187" s="54">
        <v>1183909</v>
      </c>
      <c r="W187" s="54"/>
      <c r="X187" s="54">
        <v>1.43</v>
      </c>
      <c r="Y187" s="54">
        <v>2.436922999999998</v>
      </c>
      <c r="Z187" s="54">
        <v>2.4473009999999999</v>
      </c>
      <c r="AA187" s="54">
        <v>1.4554000000000009</v>
      </c>
      <c r="AB187" s="54">
        <v>1.672800000000001</v>
      </c>
      <c r="AC187" s="54">
        <v>1.4279999999999999</v>
      </c>
      <c r="AD187" s="54">
        <v>1.452142857142857</v>
      </c>
      <c r="AE187" s="54">
        <v>1.41</v>
      </c>
      <c r="AF187" s="54">
        <f>IF($Z$3="yes", -0.0034685811145278/$X187, -0.0034685811145278)</f>
        <v>-2.4255811989704898E-3</v>
      </c>
      <c r="AG187" s="54">
        <f>IF($Z$3="yes", -0.0350197197719772/$X187, -0.0350197197719772)</f>
        <v>-2.4489314525858185E-2</v>
      </c>
      <c r="AH187" s="54">
        <f>IF($Z$3="yes", -0.00756254501800731/$X187, -0.00756254501800731)</f>
        <v>-5.288493019585532E-3</v>
      </c>
      <c r="AI187" s="54">
        <f>IF($Z$3="yes", -0.0283764705882354/$X187, -0.0283764705882354)</f>
        <v>-1.9843685726038743E-2</v>
      </c>
      <c r="AJ187" s="54">
        <f>IF($Z$3="yes", 0.00278195488721811/$X187, 0.00278195488721811)</f>
        <v>1.9454229980546223E-3</v>
      </c>
      <c r="AK187" s="54">
        <f>IF($Z$3="yes", -0.00832967032967039/$X187, -0.00832967032967039)</f>
        <v>-5.8249442864827909E-3</v>
      </c>
      <c r="AL187" s="54">
        <f>IF($Z$3="yes", 0.0019047619047622/$X187, 0.0019047619047622)</f>
        <v>1.3320013320015386E-3</v>
      </c>
      <c r="AM187" s="54">
        <f>IF($Z$3="yes", 0.0103780000000024/$X187, 0.0103780000000024)</f>
        <v>7.2573426573443352E-3</v>
      </c>
      <c r="AN187" s="54">
        <f>IF($Z$3="yes", 0.981522999999997/$X187, 0.981522999999997)</f>
        <v>0.68637972027971828</v>
      </c>
      <c r="AO187" s="54">
        <f>IF($Z$3="yes", 0.764122999999997/$X187, 0.764122999999997)</f>
        <v>0.53435174825174614</v>
      </c>
      <c r="AP187" s="54">
        <f>IF($Z$3="yes", 1.00892299999999/$X187, 1.00892299999999)</f>
        <v>0.70554055944055249</v>
      </c>
      <c r="AQ187" s="54">
        <f>IF($Z$3="yes", 0.98478014285714/$X187, 0.98478014285714)</f>
        <v>0.68865744255744055</v>
      </c>
      <c r="AR187" s="54">
        <f>IF($Z$3="yes", 1.02692299999999/$X187, 1.02692299999999)</f>
        <v>0.71812797202796508</v>
      </c>
      <c r="AS187" s="54">
        <f>IF($Z$3="yes", 0.991900999999999/$X187, 0.991900999999999)</f>
        <v>0.69363706293706229</v>
      </c>
      <c r="AT187" s="54">
        <f>IF($Z$3="yes", 0.774500999999999/$X187, 0.774500999999999)</f>
        <v>0.54160909090909026</v>
      </c>
      <c r="AU187" s="56">
        <f>IF($Z$3="yes", 1.019301/$X187, 1.019301)</f>
        <v>0.71279790209790217</v>
      </c>
      <c r="AV187" s="56">
        <f>IF($Z$3="yes", 0.995158142857143/$X187, 0.995158142857143)</f>
        <v>0.69591478521478534</v>
      </c>
      <c r="AW187" s="56">
        <f>IF($Z$3="yes", 1.037301/$X187, 1.037301)</f>
        <v>0.72538531468531475</v>
      </c>
      <c r="AX187" s="56">
        <f>IF($Z$3="yes", 0.217399999999999/$X187, 0.217399999999999)</f>
        <v>0.15202797202797133</v>
      </c>
      <c r="AY187" s="56">
        <f>IF($Z$3="yes", 0.2448/$X187, 0.2448)</f>
        <v>0.17118881118881119</v>
      </c>
      <c r="AZ187" s="56">
        <f>IF($Z$3="yes", 0.220657142857143/$X187, 0.220657142857143)</f>
        <v>0.15430569430569441</v>
      </c>
      <c r="BA187" s="56">
        <f>IF($Z$3="yes", 0.2628/$X187, 0.2628)</f>
        <v>0.18377622377622377</v>
      </c>
      <c r="BB187" s="56">
        <f>IF($Z$3="yes", 0.0274000000000007/$X187, 0.0274000000000007)</f>
        <v>1.9160839160839653E-2</v>
      </c>
      <c r="BC187" s="56">
        <f>IF($Z$3="yes", 0.00325714285714351/$X187, 0.00325714285714351)</f>
        <v>2.2777222777227344E-3</v>
      </c>
      <c r="BD187" s="56">
        <f>IF($Z$3="yes", 0.0454000000000005/$X187, 0.0454000000000005)</f>
        <v>3.1748251748252104E-2</v>
      </c>
      <c r="BE187" s="56">
        <f>IF($Z$3="yes", 0.0241428571428572/$X187, 0.0241428571428572)</f>
        <v>1.6883116883116923E-2</v>
      </c>
      <c r="BF187" s="56">
        <f>IF($Z$3="yes", 0.0179999999999997/$X187, 0.0179999999999997)</f>
        <v>1.2587412587412378E-2</v>
      </c>
      <c r="BG187" s="56">
        <f>IF($Z$3="yes", 0.042142857142857/$X187, 0.042142857142857)</f>
        <v>2.9470529470529375E-2</v>
      </c>
      <c r="BH187" s="56">
        <f>IF($Z$3="yes", 0.598621625850339/$X187, 0.598621625850339)</f>
        <v>0.41861652157366364</v>
      </c>
      <c r="BK187">
        <f>IF($BL$3="yes", MAX(0, (1183909 - 578714.4) / 405083.35697661), 578714.4)</f>
        <v>578714.4</v>
      </c>
      <c r="BL187">
        <f>IF($BL$3="yes", MAX(0, (1183909 - 452828) / 325193.184925514), 452828)</f>
        <v>452828</v>
      </c>
      <c r="BM187">
        <f>IF($BL$3="yes", MAX(0, (1183909 - 547507.05) / 413017.938502975), 547507.05)</f>
        <v>547507.05000000005</v>
      </c>
      <c r="BN187">
        <f>IF($BL$3="yes", MAX(0, (1183909 - 507991.5) / 335976.564319492), 507991.5)</f>
        <v>507991.5</v>
      </c>
      <c r="BO187">
        <f>IF($BL$3="yes", MAX(0, (1183909 - 872455.55) / 3521810.02351056), 872455.55)</f>
        <v>872455.55</v>
      </c>
      <c r="BP187">
        <f>IF($BL$3="yes", MAX(0, (1183909 - 472335.46) / 2523768.67643993), 472335.46)</f>
        <v>472335.46</v>
      </c>
      <c r="BQ187">
        <v>52.574501254178841</v>
      </c>
      <c r="BT187">
        <v>3322760.1822302481</v>
      </c>
      <c r="BU187">
        <v>263899.1143805203</v>
      </c>
      <c r="BV187">
        <f>IF($Z$3="yes", 0.116563890824986/$X187, 0.116563890824986)</f>
        <v>8.1513210367123085E-2</v>
      </c>
      <c r="BW187">
        <f>IF($Z$3="yes", 0.183091916543145/$X187, 0.183091916543145)</f>
        <v>0.12803630527492657</v>
      </c>
      <c r="BX187">
        <f>$BW$192 - $BV$192</f>
        <v>0.20700149933748413</v>
      </c>
    </row>
    <row r="188" spans="1:95" ht="15.75" customHeight="1" thickBot="1" x14ac:dyDescent="0.3">
      <c r="A188" s="28" t="s">
        <v>855</v>
      </c>
      <c r="B188" s="23" t="s">
        <v>181</v>
      </c>
      <c r="C188" s="53">
        <v>0</v>
      </c>
      <c r="D188" s="31" t="s">
        <v>204</v>
      </c>
      <c r="E188" s="27"/>
      <c r="F188" s="32">
        <v>1E-3</v>
      </c>
      <c r="G188" s="33">
        <v>44375</v>
      </c>
      <c r="H188" s="323">
        <v>5.9999999999999995E-4</v>
      </c>
      <c r="I188" s="323">
        <v>1.1999999999999999E-3</v>
      </c>
      <c r="J188" s="324">
        <v>44377</v>
      </c>
      <c r="K188" s="35">
        <f t="shared" si="10"/>
        <v>-0.4</v>
      </c>
      <c r="L188" s="35">
        <f t="shared" si="11"/>
        <v>0.19999999999999996</v>
      </c>
      <c r="M188" s="322">
        <v>44407</v>
      </c>
      <c r="N188" s="54"/>
      <c r="O188" s="55">
        <v>2688214838</v>
      </c>
      <c r="P188" s="55"/>
      <c r="Q188" s="55">
        <v>2</v>
      </c>
      <c r="R188" s="54"/>
      <c r="S188" s="55" t="s">
        <v>192</v>
      </c>
      <c r="T188" s="54"/>
      <c r="U188" s="54">
        <v>8</v>
      </c>
      <c r="V188" s="54">
        <v>7820254</v>
      </c>
      <c r="W188" s="54"/>
      <c r="X188" s="54">
        <v>1E-3</v>
      </c>
      <c r="Y188" s="54">
        <v>8.5049999999999904E-4</v>
      </c>
      <c r="Z188" s="54">
        <v>1.166000000000001E-3</v>
      </c>
      <c r="AA188" s="54">
        <v>1.0399999999999999E-3</v>
      </c>
      <c r="AB188" s="54">
        <v>1.054E-3</v>
      </c>
      <c r="AC188" s="54">
        <v>1.01E-3</v>
      </c>
      <c r="AD188" s="54">
        <v>9.8571428571428595E-4</v>
      </c>
      <c r="AE188" s="54">
        <v>9.750000000000005E-4</v>
      </c>
      <c r="AF188" s="54">
        <f>IF($Z$3="yes", 5.49801245031124E-06/$X188, 5.49801245031124E-06)</f>
        <v>5.4980124503112406E-3</v>
      </c>
      <c r="AG188" s="54">
        <f>IF($Z$3="yes", -5.73297329732986E-06/$X188, -5.73297329732986E-06)</f>
        <v>-5.7329732973298601E-3</v>
      </c>
      <c r="AH188" s="54">
        <f>IF($Z$3="yes", -7.77911164465733E-07/$X188, -7.77911164465733E-07)</f>
        <v>-7.7791116446573297E-4</v>
      </c>
      <c r="AI188" s="54">
        <f>IF($Z$3="yes", 6.7707082833118E-07/$X188, 6.7707082833118E-07)</f>
        <v>6.7707082833118001E-4</v>
      </c>
      <c r="AJ188" s="54">
        <f>IF($Z$3="yes", -0.0000060150375939851/$X188, -0.0000060150375939851)</f>
        <v>-6.0150375939850998E-3</v>
      </c>
      <c r="AK188" s="54">
        <f>IF($Z$3="yes", -3.95604395604414E-06/$X188, -3.95604395604414E-06)</f>
        <v>-3.9560439560441399E-3</v>
      </c>
      <c r="AL188" s="54">
        <f>IF($Z$3="yes", -4.76190476190622E-06/$X188, -4.76190476190622E-06)</f>
        <v>-4.7619047619062204E-3</v>
      </c>
      <c r="AM188" s="54">
        <f>IF($Z$3="yes", 0.000315500000000002/$X188, 0.000315500000000002)</f>
        <v>0.31550000000000195</v>
      </c>
      <c r="AN188" s="54">
        <f>IF($Z$3="yes", 0.0001895/$X188, 0.0001895)</f>
        <v>0.1895</v>
      </c>
      <c r="AO188" s="54">
        <f>IF($Z$3="yes", 0.0002035/$X188, 0.0002035)</f>
        <v>0.20350000000000001</v>
      </c>
      <c r="AP188" s="54">
        <f>IF($Z$3="yes", 0.000159500000000001/$X188, 0.000159500000000001)</f>
        <v>0.159500000000001</v>
      </c>
      <c r="AQ188" s="54">
        <f>IF($Z$3="yes", 0.000135214285714286/$X188, 0.000135214285714286)</f>
        <v>0.13521428571428601</v>
      </c>
      <c r="AR188" s="54">
        <f>IF($Z$3="yes", 0.000124500000000001/$X188, 0.000124500000000001)</f>
        <v>0.12450000000000098</v>
      </c>
      <c r="AS188" s="54">
        <f>IF($Z$3="yes", 0.000126000000000001/$X188, 0.000126000000000001)</f>
        <v>0.126000000000001</v>
      </c>
      <c r="AT188" s="54">
        <f>IF($Z$3="yes", 0.000112000000000001/$X188, 0.000112000000000001)</f>
        <v>0.112000000000001</v>
      </c>
      <c r="AU188" s="56">
        <f>IF($Z$3="yes", 0.000156/$X188, 0.000156)</f>
        <v>0.156</v>
      </c>
      <c r="AV188" s="56">
        <f>IF($Z$3="yes", 0.000180285714285715/$X188, 0.000180285714285715)</f>
        <v>0.18028571428571499</v>
      </c>
      <c r="AW188" s="56">
        <f>IF($Z$3="yes", 0.000191/$X188, 0.000191)</f>
        <v>0.191</v>
      </c>
      <c r="AX188" s="56">
        <f>IF($Z$3="yes", 0.0000139999999999996/$X188, 0.0000139999999999996)</f>
        <v>1.39999999999996E-2</v>
      </c>
      <c r="AY188" s="56">
        <f>IF($Z$3="yes", 0.0000439999999999991/$X188, 0.0000439999999999991)</f>
        <v>4.3999999999999095E-2</v>
      </c>
      <c r="AZ188" s="56">
        <f>IF($Z$3="yes", 0.0000682857142857136/$X188, 0.0000682857142857136)</f>
        <v>6.8285714285713603E-2</v>
      </c>
      <c r="BA188" s="56">
        <f>IF($Z$3="yes", 0.0000789999999999991/$X188, 0.0000789999999999991)</f>
        <v>7.8999999999999099E-2</v>
      </c>
      <c r="BB188" s="56">
        <f>IF($Z$3="yes", 0.0000299999999999994/$X188, 0.0000299999999999994)</f>
        <v>2.9999999999999402E-2</v>
      </c>
      <c r="BC188" s="56">
        <f>IF($Z$3="yes", 0.0000542857142857139/$X188, 0.0000542857142857139)</f>
        <v>5.4285714285713903E-2</v>
      </c>
      <c r="BD188" s="56">
        <f>IF($Z$3="yes", 0.0000649999999999994/$X188, 0.0000649999999999994)</f>
        <v>6.4999999999999392E-2</v>
      </c>
      <c r="BE188" s="56">
        <f>IF($Z$3="yes", 0.0000242857142857145/$X188, 0.0000242857142857145)</f>
        <v>2.4285714285714501E-2</v>
      </c>
      <c r="BF188" s="56">
        <f>IF($Z$3="yes", 0.0000349999999999999/$X188, 0.0000349999999999999)</f>
        <v>3.4999999999999899E-2</v>
      </c>
      <c r="BG188" s="56">
        <f>IF($Z$3="yes", 0.0000107142857142854/$X188, 0.0000107142857142854)</f>
        <v>1.07142857142854E-2</v>
      </c>
      <c r="BH188" s="56">
        <f>IF($Z$3="yes", 0.000179680272108843/$X188, 0.000179680272108843)</f>
        <v>0.17968027210884299</v>
      </c>
      <c r="BK188">
        <f>IF($BL$3="yes", MAX(0, (7820254 - 7142249.8) / 4118670.04383436), 7142249.8)</f>
        <v>7142249.7999999998</v>
      </c>
      <c r="BL188">
        <f>IF($BL$3="yes", MAX(0, (7820254 - 5929935.5) / 3491170.4059774), 5929935.5)</f>
        <v>5929935.5</v>
      </c>
      <c r="BM188">
        <f>IF($BL$3="yes", MAX(0, (7820254 - 6657475.65) / 3550342.98941981), 6657475.65)</f>
        <v>6657475.6500000004</v>
      </c>
      <c r="BN188">
        <f>IF($BL$3="yes", MAX(0, (7820254 - 13889663.96) / 18677870.6825036), 13889663.96)</f>
        <v>13889663.960000001</v>
      </c>
      <c r="BO188">
        <f>IF($BL$3="yes", MAX(0, (7820254 - 21003232.38) / 24388235.6532731), 21003232.38)</f>
        <v>21003232.379999999</v>
      </c>
      <c r="BP188">
        <f>IF($BL$3="yes", MAX(0, (7820254 - 49519609.95) / 106257189.623575), 49519609.95)</f>
        <v>49519609.950000003</v>
      </c>
      <c r="BQ188">
        <v>50.881917687682488</v>
      </c>
      <c r="BT188">
        <v>-38731650.666666649</v>
      </c>
      <c r="BU188">
        <v>-5140078.0646073176</v>
      </c>
      <c r="BV188">
        <f>IF($Z$3="yes", 0.000172552317097494/$X188, 0.000172552317097494)</f>
        <v>0.172552317097494</v>
      </c>
      <c r="BW188">
        <f>IF($Z$3="yes", 0.000214914123154955/$X188, 0.000214914123154955)</f>
        <v>0.21491412315495501</v>
      </c>
      <c r="BX188">
        <f>$BW$194 - $BV$194</f>
        <v>3.2226013760114997E-2</v>
      </c>
    </row>
    <row r="189" spans="1:95" ht="15.75" customHeight="1" thickBot="1" x14ac:dyDescent="0.3">
      <c r="A189" s="28" t="s">
        <v>745</v>
      </c>
      <c r="B189" s="23" t="s">
        <v>128</v>
      </c>
      <c r="C189" s="53">
        <v>1</v>
      </c>
      <c r="D189" s="298" t="s">
        <v>884</v>
      </c>
      <c r="E189" s="27"/>
      <c r="F189" s="32">
        <v>6.98</v>
      </c>
      <c r="G189" s="33">
        <v>44375</v>
      </c>
      <c r="H189" s="323">
        <v>4.6500000000000004</v>
      </c>
      <c r="I189" s="323">
        <v>7.54</v>
      </c>
      <c r="J189" s="324">
        <v>44377</v>
      </c>
      <c r="K189" s="35">
        <f t="shared" si="10"/>
        <v>-0.333810888252149</v>
      </c>
      <c r="L189" s="35">
        <f t="shared" si="11"/>
        <v>8.0229226361031358E-2</v>
      </c>
      <c r="M189" s="322">
        <v>44407</v>
      </c>
      <c r="N189" s="54"/>
      <c r="O189" s="55">
        <v>15727597</v>
      </c>
      <c r="P189" s="55">
        <v>7910000</v>
      </c>
      <c r="Q189" s="55">
        <v>2</v>
      </c>
      <c r="R189" s="54" t="s">
        <v>131</v>
      </c>
      <c r="S189" s="55" t="s">
        <v>157</v>
      </c>
      <c r="T189" s="54" t="s">
        <v>154</v>
      </c>
      <c r="U189" s="54">
        <v>216</v>
      </c>
      <c r="V189" s="54">
        <v>70215</v>
      </c>
      <c r="W189" s="54"/>
      <c r="X189" s="54">
        <v>6.98</v>
      </c>
      <c r="Y189" s="54" t="e">
        <v>#N/A</v>
      </c>
      <c r="Z189" s="54">
        <v>8.0028000000000006</v>
      </c>
      <c r="AA189" s="54">
        <v>6.9207999999999972</v>
      </c>
      <c r="AB189" s="54">
        <v>7.1492000000000004</v>
      </c>
      <c r="AC189" s="54">
        <v>6.9630000000000001</v>
      </c>
      <c r="AD189" s="54">
        <v>6.94</v>
      </c>
      <c r="AE189" s="54">
        <v>6.7337500000000006</v>
      </c>
      <c r="AF189" s="54" t="e">
        <f>IF($Z$3="yes", #N/A/$X189, #N/A)</f>
        <v>#N/A</v>
      </c>
      <c r="AG189" s="54">
        <f>IF($Z$3="yes", -0.0379623162316232/$X189, -0.0379623162316232)</f>
        <v>-5.4387272538142118E-3</v>
      </c>
      <c r="AH189" s="54">
        <f>IF($Z$3="yes", -0.0023615846338532/$X189, -0.0023615846338532)</f>
        <v>-3.3833590742882516E-4</v>
      </c>
      <c r="AI189" s="54">
        <f>IF($Z$3="yes", -0.0192643457382954/$X189, -0.0192643457382954)</f>
        <v>-2.7599349195265611E-3</v>
      </c>
      <c r="AJ189" s="54">
        <f>IF($Z$3="yes", -0.0203458646616534/$X189, -0.0203458646616534)</f>
        <v>-2.9148803240191118E-3</v>
      </c>
      <c r="AK189" s="54">
        <f>IF($Z$3="yes", -0.0480879120879137/$X189, -0.0480879120879137)</f>
        <v>-6.8893856859475215E-3</v>
      </c>
      <c r="AL189" s="54">
        <f>IF($Z$3="yes", 0.0405952380952363/$X189, 0.0405952380952363)</f>
        <v>5.8159366898619331E-3</v>
      </c>
      <c r="AM189" s="54"/>
      <c r="AN189" s="54"/>
      <c r="AO189" s="54"/>
      <c r="AP189" s="54"/>
      <c r="AQ189" s="54"/>
      <c r="AR189" s="54"/>
      <c r="AS189" s="54">
        <f>IF($Z$3="yes", 1.082/$X189, 1.082)</f>
        <v>0.15501432664756448</v>
      </c>
      <c r="AT189" s="54">
        <f>IF($Z$3="yes", 0.8536/$X189, 0.8536)</f>
        <v>0.12229226361031519</v>
      </c>
      <c r="AU189" s="56">
        <f>IF($Z$3="yes", 1.0398/$X189, 1.0398)</f>
        <v>0.14896848137535817</v>
      </c>
      <c r="AV189" s="56">
        <f>IF($Z$3="yes", 1.0628/$X189, 1.0628)</f>
        <v>0.15226361031518623</v>
      </c>
      <c r="AW189" s="56">
        <f>IF($Z$3="yes", 1.26905/$X189, 1.26905)</f>
        <v>0.18181232091690544</v>
      </c>
      <c r="AX189" s="56">
        <f>IF($Z$3="yes", 0.228400000000003/$X189, 0.228400000000003)</f>
        <v>3.2722063037249713E-2</v>
      </c>
      <c r="AY189" s="56">
        <f>IF($Z$3="yes", 0.1862/$X189, 0.1862)</f>
        <v>2.6676217765042979E-2</v>
      </c>
      <c r="AZ189" s="56">
        <f>IF($Z$3="yes", 0.2092/$X189, 0.2092)</f>
        <v>2.9971346704871057E-2</v>
      </c>
      <c r="BA189" s="56">
        <f>IF($Z$3="yes", 0.415449999999999/$X189, 0.415449999999999)</f>
        <v>5.9520057306590109E-2</v>
      </c>
      <c r="BB189" s="56">
        <f>IF($Z$3="yes", 0.0422000000000029/$X189, 0.0422000000000029)</f>
        <v>6.0458452722067192E-3</v>
      </c>
      <c r="BC189" s="56">
        <f>IF($Z$3="yes", 0.0192000000000032/$X189, 0.0192000000000032)</f>
        <v>2.7507163323786817E-3</v>
      </c>
      <c r="BD189" s="56">
        <f>IF($Z$3="yes", 0.187049999999996/$X189, 0.187049999999996)</f>
        <v>2.6797994269340399E-2</v>
      </c>
      <c r="BE189" s="56">
        <f>IF($Z$3="yes", 0.0229999999999996/$X189, 0.0229999999999996)</f>
        <v>3.2951289398280227E-3</v>
      </c>
      <c r="BF189" s="56">
        <f>IF($Z$3="yes", 0.229249999999999/$X189, 0.229249999999999)</f>
        <v>3.2843839541547133E-2</v>
      </c>
      <c r="BG189" s="56">
        <f>IF($Z$3="yes", 0.206249999999999/$X189, 0.206249999999999)</f>
        <v>2.9548710601719052E-2</v>
      </c>
      <c r="BH189" s="56">
        <f>IF($Z$3="yes", 0.987009523809524/$X189, 0.987009523809524)</f>
        <v>0.14140537590394325</v>
      </c>
      <c r="BK189">
        <f>IF($BL$3="yes", MAX(0, (70215 - 233513.8) / 257221.900043833), 233513.8)</f>
        <v>233513.8</v>
      </c>
      <c r="BL189">
        <f>IF($BL$3="yes", MAX(0, (70215 - 200369.7) / 187581.140674669), 200369.7)</f>
        <v>200369.7</v>
      </c>
      <c r="BM189">
        <f>IF($BL$3="yes", MAX(0, (70215 - 281011.1) / 212104.795115739), 281011.1)</f>
        <v>281011.09999999998</v>
      </c>
      <c r="BN189">
        <f>IF($BL$3="yes", MAX(0, (70215 - 1089912) / 5553215.78816317), 1089912)</f>
        <v>1089912</v>
      </c>
      <c r="BO189">
        <f>IF($BL$3="yes", MAX(0, (70215 - 614800.94) / 3957826.44734754), 614800.94)</f>
        <v>614800.93999999994</v>
      </c>
      <c r="BP189">
        <f>IF($BL$3="yes", MAX(0, (70215 - 628151.947368421) / 3533054.98236765), 628151.947368421)</f>
        <v>628151.94736842101</v>
      </c>
      <c r="BQ189">
        <v>51.001215536750493</v>
      </c>
      <c r="BT189">
        <v>267597.26266753359</v>
      </c>
      <c r="BU189">
        <v>236816.6675605216</v>
      </c>
      <c r="BV189">
        <f>IF($Z$3="yes", 0.652529116425311/$X189, 0.652529116425311)</f>
        <v>9.3485546765803854E-2</v>
      </c>
      <c r="BW189">
        <f>IF($Z$3="yes", 0.803767531045337/$X189, 0.803767531045337)</f>
        <v>0.11515294141050673</v>
      </c>
      <c r="BX189">
        <f>$BW$187 - $BV$187</f>
        <v>4.6523094907803486E-2</v>
      </c>
    </row>
    <row r="190" spans="1:95" ht="15.75" customHeight="1" thickBot="1" x14ac:dyDescent="0.3">
      <c r="A190" s="28" t="s">
        <v>745</v>
      </c>
      <c r="B190" s="23" t="s">
        <v>128</v>
      </c>
      <c r="C190" s="53">
        <v>0</v>
      </c>
      <c r="D190" s="31" t="s">
        <v>251</v>
      </c>
      <c r="E190" s="335" t="s">
        <v>250</v>
      </c>
      <c r="F190" s="32">
        <v>2.93</v>
      </c>
      <c r="G190" s="33">
        <v>44375</v>
      </c>
      <c r="H190" s="323">
        <v>2.58</v>
      </c>
      <c r="I190" s="323">
        <v>3.7298</v>
      </c>
      <c r="J190" s="324">
        <v>44377</v>
      </c>
      <c r="K190" s="35">
        <f t="shared" si="10"/>
        <v>-0.11945392491467577</v>
      </c>
      <c r="L190" s="35">
        <f t="shared" si="11"/>
        <v>0.27296928327645054</v>
      </c>
      <c r="M190" s="322">
        <v>44407</v>
      </c>
      <c r="N190" s="54"/>
      <c r="O190" s="55">
        <v>6920053</v>
      </c>
      <c r="P190" s="55">
        <v>4540000</v>
      </c>
      <c r="Q190" s="55">
        <v>2</v>
      </c>
      <c r="R190" s="54" t="s">
        <v>131</v>
      </c>
      <c r="S190" s="55" t="s">
        <v>153</v>
      </c>
      <c r="T190" s="54" t="s">
        <v>252</v>
      </c>
      <c r="U190" s="54">
        <v>84</v>
      </c>
      <c r="V190" s="54">
        <v>183407</v>
      </c>
      <c r="W190" s="54"/>
      <c r="X190" s="54">
        <v>2.93</v>
      </c>
      <c r="Y190" s="54">
        <v>1.905507499999999</v>
      </c>
      <c r="Z190" s="54">
        <v>2.6028500000000001</v>
      </c>
      <c r="AA190" s="54">
        <v>2.898702000000001</v>
      </c>
      <c r="AB190" s="54">
        <v>2.819202000000002</v>
      </c>
      <c r="AC190" s="54">
        <v>3.0772499999999998</v>
      </c>
      <c r="AD190" s="54">
        <v>2.9560714285714269</v>
      </c>
      <c r="AE190" s="54">
        <v>2.895</v>
      </c>
      <c r="AF190" s="54">
        <f>IF($Z$3="yes", 0.0126314266106653/$X190, 0.0126314266106653)</f>
        <v>4.311067102616143E-3</v>
      </c>
      <c r="AG190" s="54">
        <f>IF($Z$3="yes", 0.0124156315631562/$X190, 0.0124156315631562)</f>
        <v>4.237416915752969E-3</v>
      </c>
      <c r="AH190" s="54">
        <f>IF($Z$3="yes", 0.0133994477791113/$X190, 0.0133994477791113)</f>
        <v>4.5731903682973713E-3</v>
      </c>
      <c r="AI190" s="54">
        <f>IF($Z$3="yes", 0.0208720528211281/$X190, 0.0208720528211281)</f>
        <v>7.1235675157433793E-3</v>
      </c>
      <c r="AJ190" s="54">
        <f>IF($Z$3="yes", -0.0297406015037592/$X190, -0.0297406015037592)</f>
        <v>-1.0150375939849555E-2</v>
      </c>
      <c r="AK190" s="54">
        <f>IF($Z$3="yes", -0.0221648351648343/$X190, -0.0221648351648343)</f>
        <v>-7.5647901586465179E-3</v>
      </c>
      <c r="AL190" s="54">
        <f>IF($Z$3="yes", 0.0135714285714277/$X190, 0.0135714285714277)</f>
        <v>4.6318868844463139E-3</v>
      </c>
      <c r="AM190" s="54">
        <f>IF($Z$3="yes", 0.697342500000001/$X190, 0.697342500000001)</f>
        <v>0.23800085324232115</v>
      </c>
      <c r="AN190" s="54">
        <f>IF($Z$3="yes", 0.993194500000002/$X190, 0.993194500000002)</f>
        <v>0.33897423208191191</v>
      </c>
      <c r="AO190" s="54">
        <f>IF($Z$3="yes", 0.913694500000002/$X190, 0.913694500000002)</f>
        <v>0.31184112627986416</v>
      </c>
      <c r="AP190" s="54">
        <f>IF($Z$3="yes", 1.1717425/$X190, 1.1717425)</f>
        <v>0.39991211604095556</v>
      </c>
      <c r="AQ190" s="54">
        <f>IF($Z$3="yes", 1.05056392857142/$X190, 1.05056392857142)</f>
        <v>0.35855424183324908</v>
      </c>
      <c r="AR190" s="54">
        <f>IF($Z$3="yes", 0.989492500000001/$X190, 0.989492500000001)</f>
        <v>0.33771075085324265</v>
      </c>
      <c r="AS190" s="54">
        <f>IF($Z$3="yes", 0.295852000000001/$X190, 0.295852000000001)</f>
        <v>0.10097337883959077</v>
      </c>
      <c r="AT190" s="54">
        <f>IF($Z$3="yes", 0.216352000000001/$X190, 0.216352000000001)</f>
        <v>7.3840273037542994E-2</v>
      </c>
      <c r="AU190" s="56">
        <f>IF($Z$3="yes", 0.474399999999999/$X190, 0.474399999999999)</f>
        <v>0.16191126279863446</v>
      </c>
      <c r="AV190" s="56">
        <f>IF($Z$3="yes", 0.353221428571427/$X190, 0.353221428571427)</f>
        <v>0.12055338859093072</v>
      </c>
      <c r="AW190" s="56">
        <f>IF($Z$3="yes", 0.29215/$X190, 0.29215)</f>
        <v>9.97098976109215E-2</v>
      </c>
      <c r="AX190" s="56">
        <f>IF($Z$3="yes", 0.0794999999999999/$X190, 0.0794999999999999)</f>
        <v>2.7133105802047749E-2</v>
      </c>
      <c r="AY190" s="56">
        <f>IF($Z$3="yes", 0.258047999999998/$X190, 0.258047999999998)</f>
        <v>8.807098976109147E-2</v>
      </c>
      <c r="AZ190" s="56">
        <f>IF($Z$3="yes", 0.136869428571425/$X190, 0.136869428571425)</f>
        <v>4.671311555338737E-2</v>
      </c>
      <c r="BA190" s="56">
        <f>IF($Z$3="yes", 0.0757979999999989/$X190, 0.0757979999999989)</f>
        <v>2.586962457337846E-2</v>
      </c>
      <c r="BB190" s="56">
        <f>IF($Z$3="yes", 0.178547999999998/$X190, 0.178547999999998)</f>
        <v>6.093788395904369E-2</v>
      </c>
      <c r="BC190" s="56">
        <f>IF($Z$3="yes", 0.0573694285714259/$X190, 0.0573694285714259)</f>
        <v>1.9580009751339895E-2</v>
      </c>
      <c r="BD190" s="56">
        <f>IF($Z$3="yes", 0.00370200000000098/$X190, 0.00370200000000098)</f>
        <v>1.2634812286692763E-3</v>
      </c>
      <c r="BE190" s="56">
        <f>IF($Z$3="yes", 0.121178571428572/$X190, 0.121178571428572)</f>
        <v>4.1357874207703753E-2</v>
      </c>
      <c r="BF190" s="56">
        <f>IF($Z$3="yes", 0.182249999999999/$X190, 0.182249999999999)</f>
        <v>6.2201365187712965E-2</v>
      </c>
      <c r="BG190" s="56">
        <f>IF($Z$3="yes", 0.0610714285714268/$X190, 0.0610714285714268)</f>
        <v>2.0843490980009146E-2</v>
      </c>
      <c r="BH190" s="56">
        <f>IF($Z$3="yes", 0.607755959183673/$X190, 0.607755959183673)</f>
        <v>0.20742524204220919</v>
      </c>
      <c r="BK190">
        <f>IF($BL$3="yes", MAX(0, (183407 - 380434.6) / 365225.208441367), 380434.6)</f>
        <v>380434.6</v>
      </c>
      <c r="BL190">
        <f>IF($BL$3="yes", MAX(0, (183407 - 344030.1) / 290565.31054152), 344030.1)</f>
        <v>344030.1</v>
      </c>
      <c r="BM190">
        <f>IF($BL$3="yes", MAX(0, (183407 - 729307.85) / 733831.975285914), 729307.85)</f>
        <v>729307.85</v>
      </c>
      <c r="BN190">
        <f>IF($BL$3="yes", MAX(0, (183407 - 2555459.08) / 6493075.1008484), 2555459.08)</f>
        <v>2555459.08</v>
      </c>
      <c r="BO190">
        <f>IF($BL$3="yes", MAX(0, (183407 - 3709058.02) / 19920083.700696), 3709058.02)</f>
        <v>3709058.02</v>
      </c>
      <c r="BP190">
        <f>IF($BL$3="yes", MAX(0, (183407 - 1924953.2) / 14199796.1389297), 1924953.2)</f>
        <v>1924953.2</v>
      </c>
      <c r="BQ190">
        <v>50.230772357535628</v>
      </c>
      <c r="BT190">
        <v>-502817.43699144362</v>
      </c>
      <c r="BU190">
        <v>-15137.68013111089</v>
      </c>
      <c r="BV190">
        <f>IF($Z$3="yes", 0.278954164370211/$X190, 0.278954164370211)</f>
        <v>9.5206199443758008E-2</v>
      </c>
      <c r="BW190">
        <f>IF($Z$3="yes", 0.440591993276931/$X190, 0.440591993276931)</f>
        <v>0.15037269395117098</v>
      </c>
      <c r="BX190">
        <f>$BW$188 - $BV$188</f>
        <v>4.236180605746101E-2</v>
      </c>
    </row>
    <row r="191" spans="1:95" ht="15.75" customHeight="1" thickBot="1" x14ac:dyDescent="0.3">
      <c r="A191" s="28" t="s">
        <v>855</v>
      </c>
      <c r="B191" s="23" t="s">
        <v>181</v>
      </c>
      <c r="C191" s="53">
        <v>0</v>
      </c>
      <c r="D191" s="31" t="s">
        <v>885</v>
      </c>
      <c r="E191" s="334"/>
      <c r="F191" s="32">
        <v>1.1999999999999999E-3</v>
      </c>
      <c r="G191" s="33">
        <v>44375</v>
      </c>
      <c r="H191" s="323">
        <v>1.1000000000000001E-3</v>
      </c>
      <c r="I191" s="323">
        <v>1.5E-3</v>
      </c>
      <c r="J191" s="324">
        <v>44384</v>
      </c>
      <c r="K191" s="35">
        <f t="shared" si="10"/>
        <v>-8.3333333333333148E-2</v>
      </c>
      <c r="L191" s="35">
        <f t="shared" si="11"/>
        <v>0.25000000000000022</v>
      </c>
      <c r="M191" s="322">
        <v>44407</v>
      </c>
      <c r="N191" s="54"/>
      <c r="O191" s="55">
        <v>4324209834</v>
      </c>
      <c r="P191" s="55"/>
      <c r="Q191" s="55">
        <v>9</v>
      </c>
      <c r="R191" s="54"/>
      <c r="S191" s="55"/>
      <c r="T191" s="54"/>
      <c r="U191" s="54">
        <v>124</v>
      </c>
      <c r="V191" s="54">
        <v>34082909</v>
      </c>
      <c r="W191" s="54"/>
      <c r="X191" s="54">
        <v>1.1999999999999999E-3</v>
      </c>
      <c r="Y191" s="54">
        <v>9.2250000000000101E-4</v>
      </c>
      <c r="Z191" s="54">
        <v>1.433999999999998E-3</v>
      </c>
      <c r="AA191" s="54">
        <v>1.214E-3</v>
      </c>
      <c r="AB191" s="54">
        <v>1.292000000000001E-3</v>
      </c>
      <c r="AC191" s="54">
        <v>1.1349999999999999E-3</v>
      </c>
      <c r="AD191" s="54">
        <v>1.1642857142857141E-3</v>
      </c>
      <c r="AE191" s="54">
        <v>1.1624999999999999E-3</v>
      </c>
      <c r="AF191" s="54">
        <f>IF($Z$3="yes", 7.83612090302252E-06/$X191, 7.83612090302252E-06)</f>
        <v>6.5301007525187674E-3</v>
      </c>
      <c r="AG191" s="54">
        <f>IF($Z$3="yes", -0.0000076123612361234/$X191, -0.0000076123612361234)</f>
        <v>-6.3436343634361674E-3</v>
      </c>
      <c r="AH191" s="54">
        <f>IF($Z$3="yes", -5.06602641056431E-06/$X191, -5.06602641056431E-06)</f>
        <v>-4.2216886754702582E-3</v>
      </c>
      <c r="AI191" s="54">
        <f>IF($Z$3="yes", -0.0000101320528211283/$X191, -0.0000101320528211283)</f>
        <v>-8.443377350940251E-3</v>
      </c>
      <c r="AJ191" s="54">
        <f>IF($Z$3="yes", 4.43609022556392E-06/$X191, 4.43609022556392E-06)</f>
        <v>3.6967418546366001E-3</v>
      </c>
      <c r="AK191" s="54">
        <f>IF($Z$3="yes", -2.85714285714282E-06/$X191, -2.85714285714282E-06)</f>
        <v>-2.3809523809523504E-3</v>
      </c>
      <c r="AL191" s="54">
        <f>IF($Z$3="yes", -5.95238095238095E-06/$X191, -5.95238095238095E-06)</f>
        <v>-4.9603174603174592E-3</v>
      </c>
      <c r="AM191" s="54">
        <f>IF($Z$3="yes", 0.000511499999999997/$X191, 0.000511499999999997)</f>
        <v>0.42624999999999752</v>
      </c>
      <c r="AN191" s="54">
        <f>IF($Z$3="yes", 0.000291499999999999/$X191, 0.000291499999999999)</f>
        <v>0.24291666666666586</v>
      </c>
      <c r="AO191" s="54">
        <f>IF($Z$3="yes", 0.000369499999999999/$X191, 0.000369499999999999)</f>
        <v>0.30791666666666584</v>
      </c>
      <c r="AP191" s="54">
        <f>IF($Z$3="yes", 0.000212499999999999/$X191, 0.000212499999999999)</f>
        <v>0.17708333333333254</v>
      </c>
      <c r="AQ191" s="54">
        <f>IF($Z$3="yes", 0.000241785714285713/$X191, 0.000241785714285713)</f>
        <v>0.20148809523809419</v>
      </c>
      <c r="AR191" s="54">
        <f>IF($Z$3="yes", 0.000239999999999998/$X191, 0.000239999999999998)</f>
        <v>0.19999999999999835</v>
      </c>
      <c r="AS191" s="54">
        <f>IF($Z$3="yes", 0.000219999999999997/$X191, 0.000219999999999997)</f>
        <v>0.18333333333333085</v>
      </c>
      <c r="AT191" s="54">
        <f>IF($Z$3="yes", 0.000141999999999997/$X191, 0.000141999999999997)</f>
        <v>0.11833333333333085</v>
      </c>
      <c r="AU191" s="56">
        <f>IF($Z$3="yes", 0.000298999999999998/$X191, 0.000298999999999998)</f>
        <v>0.24916666666666501</v>
      </c>
      <c r="AV191" s="56">
        <f>IF($Z$3="yes", 0.000269714285714284/$X191, 0.000269714285714284)</f>
        <v>0.22476190476190336</v>
      </c>
      <c r="AW191" s="56">
        <f>IF($Z$3="yes", 0.000271499999999998/$X191, 0.000271499999999998)</f>
        <v>0.22624999999999834</v>
      </c>
      <c r="AX191" s="56">
        <f>IF($Z$3="yes", 0.0000780000000000001/$X191, 0.0000780000000000001)</f>
        <v>6.5000000000000085E-2</v>
      </c>
      <c r="AY191" s="56">
        <f>IF($Z$3="yes", 0.000157/$X191, 0.000157)</f>
        <v>0.13083333333333333</v>
      </c>
      <c r="AZ191" s="56">
        <f>IF($Z$3="yes", 0.000127714285714286/$X191, 0.000127714285714286)</f>
        <v>0.10642857142857166</v>
      </c>
      <c r="BA191" s="56">
        <f>IF($Z$3="yes", 0.0001295/$X191, 0.0001295)</f>
        <v>0.10791666666666667</v>
      </c>
      <c r="BB191" s="56">
        <f>IF($Z$3="yes", 0.0000790000000000003/$X191, 0.0000790000000000003)</f>
        <v>6.5833333333333591E-2</v>
      </c>
      <c r="BC191" s="56">
        <f>IF($Z$3="yes", 0.0000497142857142863/$X191, 0.0000497142857142863)</f>
        <v>4.1428571428571918E-2</v>
      </c>
      <c r="BD191" s="56">
        <f>IF($Z$3="yes", 0.0000515000000000005/$X191, 0.0000515000000000005)</f>
        <v>4.2916666666667089E-2</v>
      </c>
      <c r="BE191" s="56">
        <f>IF($Z$3="yes", 0.0000292857142857138/$X191, 0.0000292857142857138)</f>
        <v>2.4404761904761502E-2</v>
      </c>
      <c r="BF191" s="56">
        <f>IF($Z$3="yes", 0.0000274999999999997/$X191, 0.0000274999999999997)</f>
        <v>2.2916666666666419E-2</v>
      </c>
      <c r="BG191" s="56">
        <f>IF($Z$3="yes", 1.78571428571415E-06/$X191, 1.78571428571415E-06)</f>
        <v>1.488095238095125E-3</v>
      </c>
      <c r="BH191" s="56">
        <f>IF($Z$3="yes", 0.000253513605442176/$X191, 0.000253513605442176)</f>
        <v>0.21126133786848003</v>
      </c>
      <c r="BK191">
        <f>IF($BL$3="yes", MAX(0, (34082909 - 16371329.2) / 9438207.99986436), 16371329.2)</f>
        <v>16371329.199999999</v>
      </c>
      <c r="BL191">
        <f>IF($BL$3="yes", MAX(0, (34082909 - 21559458.6) / 12768421.6253686), 21559458.6)</f>
        <v>21559458.600000001</v>
      </c>
      <c r="BM191">
        <f>IF($BL$3="yes", MAX(0, (34082909 - 26419837.65) / 17763276.2502499), 26419837.65)</f>
        <v>26419837.649999999</v>
      </c>
      <c r="BN191">
        <f>IF($BL$3="yes", MAX(0, (34082909 - 29690822.02) / 29586194.5588884), 29690822.02)</f>
        <v>29690822.02</v>
      </c>
      <c r="BO191">
        <f>IF($BL$3="yes", MAX(0, (34082909 - 56030296.33) / 72637336.7203948), 56030296.33)</f>
        <v>56030296.329999998</v>
      </c>
      <c r="BP191">
        <f>IF($BL$3="yes", MAX(0, (34082909 - 85750804.615) / 208403870.617285), 85750804.615)</f>
        <v>85750804.614999995</v>
      </c>
      <c r="BQ191">
        <v>51.202682879800037</v>
      </c>
      <c r="BT191">
        <v>156318966</v>
      </c>
      <c r="BU191">
        <v>16854024.186089341</v>
      </c>
      <c r="BV191">
        <f>IF($Z$3="yes", 0.000207773869034169/$X191, 0.000207773869034169)</f>
        <v>0.17314489086180751</v>
      </c>
      <c r="BW191">
        <f>IF($Z$3="yes", 0.000259395801575361/$X191, 0.000259395801575361)</f>
        <v>0.2161631679794675</v>
      </c>
      <c r="BX191">
        <f>$BW$193 - $BV$193</f>
        <v>6.9320107320580054E-2</v>
      </c>
    </row>
    <row r="192" spans="1:95" ht="15.75" customHeight="1" thickBot="1" x14ac:dyDescent="0.3">
      <c r="A192" s="58" t="s">
        <v>837</v>
      </c>
      <c r="B192" s="23" t="s">
        <v>181</v>
      </c>
      <c r="C192" s="53">
        <v>0</v>
      </c>
      <c r="D192" s="31" t="s">
        <v>260</v>
      </c>
      <c r="E192" s="59" t="s">
        <v>259</v>
      </c>
      <c r="F192" s="32">
        <v>1.6999999999999999E-3</v>
      </c>
      <c r="G192" s="33">
        <v>44375</v>
      </c>
      <c r="H192" s="323">
        <v>2E-3</v>
      </c>
      <c r="I192" s="323">
        <v>3.0000000000000001E-3</v>
      </c>
      <c r="J192" s="324">
        <v>44376</v>
      </c>
      <c r="K192" s="35">
        <f t="shared" si="10"/>
        <v>0.17647058823529416</v>
      </c>
      <c r="L192" s="35">
        <f t="shared" si="11"/>
        <v>0.76470588235294135</v>
      </c>
      <c r="M192" s="322">
        <v>44407</v>
      </c>
      <c r="N192" s="54"/>
      <c r="O192" s="55">
        <v>6956116348</v>
      </c>
      <c r="P192" s="55"/>
      <c r="Q192" s="55">
        <v>1</v>
      </c>
      <c r="R192" s="54"/>
      <c r="S192" s="55" t="s">
        <v>148</v>
      </c>
      <c r="T192" s="54"/>
      <c r="U192" s="54">
        <v>152</v>
      </c>
      <c r="V192" s="54">
        <v>202338866</v>
      </c>
      <c r="W192" s="54"/>
      <c r="X192" s="54">
        <v>1.6999999999999999E-3</v>
      </c>
      <c r="Y192" s="54">
        <v>1.599500000000003E-3</v>
      </c>
      <c r="Z192" s="54">
        <v>2.9489999999999981E-3</v>
      </c>
      <c r="AA192" s="54">
        <v>2.125999999999999E-3</v>
      </c>
      <c r="AB192" s="54">
        <v>2.8040000000000009E-3</v>
      </c>
      <c r="AC192" s="54">
        <v>1.565E-3</v>
      </c>
      <c r="AD192" s="54">
        <v>1.5714285714285711E-3</v>
      </c>
      <c r="AE192" s="54">
        <v>1.5625000000000001E-3</v>
      </c>
      <c r="AF192" s="54">
        <f>IF($Z$3="yes", 0.0000179160729018224/$X192, 0.0000179160729018224)</f>
        <v>1.0538866412836705E-2</v>
      </c>
      <c r="AG192" s="54">
        <f>IF($Z$3="yes", -0.0000237473747374735/$X192, -0.0000237473747374735)</f>
        <v>-1.3969043963219706E-2</v>
      </c>
      <c r="AH192" s="54">
        <f>IF($Z$3="yes", -0.0000449123649459783/$X192, -0.0000449123649459783)</f>
        <v>-2.6419038203516647E-2</v>
      </c>
      <c r="AI192" s="54">
        <f>IF($Z$3="yes", -0.000082967587034814/$X192, -0.000082967587034814)</f>
        <v>-4.8804462961655297E-2</v>
      </c>
      <c r="AJ192" s="54">
        <f>IF($Z$3="yes", -1.12781954887222E-06/$X192, -1.12781954887222E-06)</f>
        <v>-6.6342326404248244E-4</v>
      </c>
      <c r="AK192" s="54">
        <f>IF($Z$3="yes", -3.51648351648396E-06/$X192, -3.51648351648396E-06)</f>
        <v>-2.0685197155788002E-3</v>
      </c>
      <c r="AL192" s="54">
        <f>IF($Z$3="yes", -8.33333333333307E-06/$X192, -8.33333333333307E-06)</f>
        <v>-4.9019607843135702E-3</v>
      </c>
      <c r="AM192" s="54">
        <f>IF($Z$3="yes", 0.00134949999999999/$X192, 0.00134949999999999)</f>
        <v>0.79382352941175893</v>
      </c>
      <c r="AN192" s="54">
        <f>IF($Z$3="yes", 0.000526499999999996/$X192, 0.000526499999999996)</f>
        <v>0.30970588235293889</v>
      </c>
      <c r="AO192" s="54">
        <f>IF($Z$3="yes", 0.00120449999999999/$X192, 0.00120449999999999)</f>
        <v>0.70852941176470008</v>
      </c>
      <c r="AP192" s="54">
        <f>IF($Z$3="yes", 0.0000345000000000024/$X192, 0.0000345000000000024)</f>
        <v>2.0294117647060236E-2</v>
      </c>
      <c r="AQ192" s="54">
        <f>IF($Z$3="yes", 0.0000280714285714311/$X192, 0.0000280714285714311)</f>
        <v>1.6512605042018295E-2</v>
      </c>
      <c r="AR192" s="54">
        <f>IF($Z$3="yes", 0.0000370000000000027/$X192, 0.0000370000000000027)</f>
        <v>2.1764705882354532E-2</v>
      </c>
      <c r="AS192" s="54">
        <f>IF($Z$3="yes", 0.000822999999999998/$X192, 0.000822999999999998)</f>
        <v>0.48411764705882238</v>
      </c>
      <c r="AT192" s="54">
        <f>IF($Z$3="yes", 0.000144999999999996/$X192, 0.000144999999999996)</f>
        <v>8.5294117647056467E-2</v>
      </c>
      <c r="AU192" s="56">
        <f>IF($Z$3="yes", 0.00138399999999999/$X192, 0.00138399999999999)</f>
        <v>0.81411764705881773</v>
      </c>
      <c r="AV192" s="56">
        <f>IF($Z$3="yes", 0.00137757142857142/$X192, 0.00137757142857142)</f>
        <v>0.8103361344537765</v>
      </c>
      <c r="AW192" s="56">
        <f>IF($Z$3="yes", 0.00138649999999999/$X192, 0.00138649999999999)</f>
        <v>0.81558823529411173</v>
      </c>
      <c r="AX192" s="56">
        <f>IF($Z$3="yes", 0.000678000000000002/$X192, 0.000678000000000002)</f>
        <v>0.39882352941176585</v>
      </c>
      <c r="AY192" s="56">
        <f>IF($Z$3="yes", 0.001239/$X192, 0.001239)</f>
        <v>0.72882352941176476</v>
      </c>
      <c r="AZ192" s="56">
        <f>IF($Z$3="yes", 0.00123257142857142/$X192, 0.00123257142857142)</f>
        <v>0.72504201680671765</v>
      </c>
      <c r="BA192" s="56">
        <f>IF($Z$3="yes", 0.0012415/$X192, 0.0012415)</f>
        <v>0.73029411764705887</v>
      </c>
      <c r="BB192" s="56">
        <f>IF($Z$3="yes", 0.000560999999999999/$X192, 0.000560999999999999)</f>
        <v>0.3299999999999994</v>
      </c>
      <c r="BC192" s="56">
        <f>IF($Z$3="yes", 0.000554571428571427/$X192, 0.000554571428571427)</f>
        <v>0.32621848739495707</v>
      </c>
      <c r="BD192" s="56">
        <f>IF($Z$3="yes", 0.000563499999999999/$X192, 0.000563499999999999)</f>
        <v>0.33147058823529357</v>
      </c>
      <c r="BE192" s="56">
        <f>IF($Z$3="yes", 6.42857142857129E-06/$X192, 6.42857142857129E-06)</f>
        <v>3.7815126050419353E-3</v>
      </c>
      <c r="BF192" s="56">
        <f>IF($Z$3="yes", 2.50000000000033E-06/$X192, 2.50000000000033E-06)</f>
        <v>1.4705882352943119E-3</v>
      </c>
      <c r="BG192" s="56">
        <f>IF($Z$3="yes", 8.92857142857162E-06/$X192, 8.92857142857162E-06)</f>
        <v>5.2521008403362476E-3</v>
      </c>
      <c r="BH192" s="56">
        <f>IF($Z$3="yes", 0.000744860544217686/$X192, 0.000744860544217686)</f>
        <v>0.4381532613045212</v>
      </c>
      <c r="BK192">
        <f>IF($BL$3="yes", MAX(0, (202338866 - 108216082.2) / 60118916.575854), 108216082.2)</f>
        <v>108216082.2</v>
      </c>
      <c r="BL192">
        <f>IF($BL$3="yes", MAX(0, (202338866 - 82175816.6) / 53792297.9981411), 82175816.6)</f>
        <v>82175816.599999994</v>
      </c>
      <c r="BM192">
        <f>IF($BL$3="yes", MAX(0, (202338866 - 122485482.25) / 153124197.378818), 122485482.25)</f>
        <v>122485482.25</v>
      </c>
      <c r="BN192">
        <f>IF($BL$3="yes", MAX(0, (202338866 - 145972743.2) / 148024735.737886), 145972743.2)</f>
        <v>145972743.19999999</v>
      </c>
      <c r="BO192">
        <f>IF($BL$3="yes", MAX(0, (202338866 - 199657561.12) / 174497837.282596), 199657561.12)</f>
        <v>199657561.12</v>
      </c>
      <c r="BP192">
        <f>IF($BL$3="yes", MAX(0, (202338866 - 145919263.88) / 204275644.847381), 145919263.88)</f>
        <v>145919263.88</v>
      </c>
      <c r="BQ192">
        <v>52.266954353519282</v>
      </c>
      <c r="BT192">
        <v>-760748350.99999976</v>
      </c>
      <c r="BU192">
        <v>38117621.398593187</v>
      </c>
      <c r="BV192">
        <f>IF($Z$3="yes", 0.000343267036022805/$X192, 0.000343267036022805)</f>
        <v>0.20192178589576765</v>
      </c>
      <c r="BW192">
        <f>IF($Z$3="yes", 0.000695169584896528/$X192, 0.000695169584896528)</f>
        <v>0.40892328523325178</v>
      </c>
      <c r="BX192">
        <f>$BW$196 - $BV$196</f>
        <v>2.7923419255368592E-2</v>
      </c>
    </row>
    <row r="193" spans="1:95" ht="15.75" customHeight="1" thickBot="1" x14ac:dyDescent="0.3">
      <c r="A193" s="58" t="s">
        <v>745</v>
      </c>
      <c r="B193" s="23" t="s">
        <v>128</v>
      </c>
      <c r="C193" s="30">
        <v>3</v>
      </c>
      <c r="D193" s="31" t="s">
        <v>886</v>
      </c>
      <c r="E193" s="27"/>
      <c r="F193" s="32">
        <v>7.47</v>
      </c>
      <c r="G193" s="33">
        <v>44375</v>
      </c>
      <c r="H193" s="323">
        <v>6.84</v>
      </c>
      <c r="I193" s="323">
        <v>7.7</v>
      </c>
      <c r="J193" s="324">
        <v>44386</v>
      </c>
      <c r="K193" s="35">
        <f t="shared" si="10"/>
        <v>-8.43373493975903E-2</v>
      </c>
      <c r="L193" s="35">
        <f t="shared" si="11"/>
        <v>3.0789825970549023E-2</v>
      </c>
      <c r="M193" s="322">
        <v>44407</v>
      </c>
      <c r="N193" s="54"/>
      <c r="O193" s="55">
        <v>24711160</v>
      </c>
      <c r="P193" s="55">
        <v>10560000</v>
      </c>
      <c r="Q193" s="55">
        <v>11</v>
      </c>
      <c r="R193" s="54" t="s">
        <v>887</v>
      </c>
      <c r="S193" s="55" t="s">
        <v>135</v>
      </c>
      <c r="T193" s="54" t="s">
        <v>787</v>
      </c>
      <c r="U193" s="54">
        <v>188</v>
      </c>
      <c r="V193" s="54">
        <v>221499</v>
      </c>
      <c r="W193" s="54"/>
      <c r="X193" s="54">
        <v>7.47</v>
      </c>
      <c r="Y193" s="54">
        <v>7.5628330000000048</v>
      </c>
      <c r="Z193" s="54">
        <v>8.8869000000000007</v>
      </c>
      <c r="AA193" s="54">
        <v>8.1017999999999972</v>
      </c>
      <c r="AB193" s="54">
        <v>8.6979999999999986</v>
      </c>
      <c r="AC193" s="54">
        <v>7.9365000000000014</v>
      </c>
      <c r="AD193" s="54">
        <v>7.8692857142857129</v>
      </c>
      <c r="AE193" s="54">
        <v>7.5712500000000018</v>
      </c>
      <c r="AF193" s="54">
        <f>IF($Z$3="yes", 0.0183777569939249/$X193, 0.0183777569939249)</f>
        <v>2.4602084329216735E-3</v>
      </c>
      <c r="AG193" s="54">
        <f>IF($Z$3="yes", -0.0147734173417345/$X193, -0.0147734173417345)</f>
        <v>-1.9776997780099736E-3</v>
      </c>
      <c r="AH193" s="54">
        <f>IF($Z$3="yes", -0.0276768307322929/$X193, -0.0276768307322929)</f>
        <v>-3.7050643550592907E-3</v>
      </c>
      <c r="AI193" s="54">
        <f>IF($Z$3="yes", -0.0661944777911173/$X193, -0.0661944777911173)</f>
        <v>-8.8613758756515802E-3</v>
      </c>
      <c r="AJ193" s="54">
        <f>IF($Z$3="yes", -0.0433458646616544/$X193, -0.0433458646616544)</f>
        <v>-5.802659258588274E-3</v>
      </c>
      <c r="AK193" s="54">
        <f>IF($Z$3="yes", -0.0861758241758251/$X193, -0.0861758241758251)</f>
        <v>-1.153625490974901E-2</v>
      </c>
      <c r="AL193" s="54">
        <f>IF($Z$3="yes", -0.0165476190476175/$X193, -0.0165476190476175)</f>
        <v>-2.2152100465351408E-3</v>
      </c>
      <c r="AM193" s="54">
        <f>IF($Z$3="yes", 1.32406699999999/$X193, 1.32406699999999)</f>
        <v>0.17725127175368005</v>
      </c>
      <c r="AN193" s="54">
        <f>IF($Z$3="yes", 0.538966999999992/$X193, 0.538966999999992)</f>
        <v>7.2150870147254617E-2</v>
      </c>
      <c r="AO193" s="54">
        <f>IF($Z$3="yes", 1.13516699999999/$X193, 1.13516699999999)</f>
        <v>0.15196345381525972</v>
      </c>
      <c r="AP193" s="54">
        <f>IF($Z$3="yes", 0.373666999999996/$X193, 0.373666999999996)</f>
        <v>5.002235609103025E-2</v>
      </c>
      <c r="AQ193" s="54">
        <f>IF($Z$3="yes", 0.306452714285708/$X193, 0.306452714285708)</f>
        <v>4.102445974373601E-2</v>
      </c>
      <c r="AR193" s="54">
        <f>IF($Z$3="yes", 0.00841699999999701/$X193, 0.00841699999999701)</f>
        <v>1.1267737617131205E-3</v>
      </c>
      <c r="AS193" s="54">
        <f>IF($Z$3="yes", 0.785100000000003/$X193, 0.785100000000003)</f>
        <v>0.10510040160642611</v>
      </c>
      <c r="AT193" s="54">
        <f>IF($Z$3="yes", 0.188900000000002/$X193, 0.188900000000002)</f>
        <v>2.528781793842062E-2</v>
      </c>
      <c r="AU193" s="56">
        <f>IF($Z$3="yes", 0.950399999999999/$X193, 0.950399999999999)</f>
        <v>0.12722891566265049</v>
      </c>
      <c r="AV193" s="56">
        <f>IF($Z$3="yes", 1.01761428571428/$X193, 1.01761428571428)</f>
        <v>0.13622681200994377</v>
      </c>
      <c r="AW193" s="56">
        <f>IF($Z$3="yes", 1.31564999999999/$X193, 1.31564999999999)</f>
        <v>0.17612449799196653</v>
      </c>
      <c r="AX193" s="56">
        <f>IF($Z$3="yes", 0.596200000000001/$X193, 0.596200000000001)</f>
        <v>7.9812583668005491E-2</v>
      </c>
      <c r="AY193" s="56">
        <f>IF($Z$3="yes", 0.761499999999997/$X193, 0.761499999999997)</f>
        <v>0.10194109772422985</v>
      </c>
      <c r="AZ193" s="56">
        <f>IF($Z$3="yes", 0.828714285714285/$X193, 0.828714285714285)</f>
        <v>0.11093899407152409</v>
      </c>
      <c r="BA193" s="56">
        <f>IF($Z$3="yes", 1.12674999999999/$X193, 1.12674999999999)</f>
        <v>0.15083668005354617</v>
      </c>
      <c r="BB193" s="56">
        <f>IF($Z$3="yes", 0.165299999999995/$X193, 0.165299999999995)</f>
        <v>2.2128514056224232E-2</v>
      </c>
      <c r="BC193" s="56">
        <f>IF($Z$3="yes", 0.232514285714284/$X193, 0.232514285714284)</f>
        <v>3.1126410403518611E-2</v>
      </c>
      <c r="BD193" s="56">
        <f>IF($Z$3="yes", 0.530549999999995/$X193, 0.530549999999995)</f>
        <v>7.1024096385541496E-2</v>
      </c>
      <c r="BE193" s="56">
        <f>IF($Z$3="yes", 0.0672142857142885/$X193, 0.0672142857142885)</f>
        <v>8.9978963472943114E-3</v>
      </c>
      <c r="BF193" s="56">
        <f>IF($Z$3="yes", 0.365249999999999/$X193, 0.365249999999999)</f>
        <v>4.8895582329317143E-2</v>
      </c>
      <c r="BG193" s="56">
        <f>IF($Z$3="yes", 0.298035714285711/$X193, 0.298035714285711)</f>
        <v>3.9897685982022896E-2</v>
      </c>
      <c r="BH193" s="56">
        <f>IF($Z$3="yes", 1.26161582312925/$X193, 1.26161582312925)</f>
        <v>0.16889100711234942</v>
      </c>
      <c r="BI193" s="29"/>
      <c r="BJ193" s="29"/>
      <c r="BK193" s="29">
        <f>IF($BL$3="yes", MAX(0, (221499 - 280807) / 189823.087692725), 280807)</f>
        <v>280807</v>
      </c>
      <c r="BL193" s="29">
        <f>IF($BL$3="yes", MAX(0, (221499 - 308586.3) / 160258.136488635), 308586.3)</f>
        <v>308586.3</v>
      </c>
      <c r="BM193" s="29">
        <f>IF($BL$3="yes", MAX(0, (221499 - 551085.4) / 488012.463591597), 551085.4)</f>
        <v>551085.4</v>
      </c>
      <c r="BN193" s="29">
        <f>IF($BL$3="yes", MAX(0, (221499 - 739992.22) / 621935.2491951), 739992.22)</f>
        <v>739992.22</v>
      </c>
      <c r="BO193" s="29">
        <f>IF($BL$3="yes", MAX(0, (221499 - 3069952.79) / 9680676.86564464), 3069952.79)</f>
        <v>3069952.79</v>
      </c>
      <c r="BP193" s="29">
        <f>IF($BL$3="yes", MAX(0, (221499 - 1669386.505) / 7002805.16546576), 1669386.505)</f>
        <v>1669386.5049999999</v>
      </c>
      <c r="BQ193" s="29">
        <v>36.901707909086021</v>
      </c>
      <c r="BR193" s="29"/>
      <c r="BS193" s="29"/>
      <c r="BT193" s="29">
        <v>-881371.26123401674</v>
      </c>
      <c r="BU193" s="29">
        <v>-20093.904240675391</v>
      </c>
      <c r="BV193" s="29">
        <f>IF($Z$3="yes", 0.534023030987627/$X193, 0.534023030987627)</f>
        <v>7.1489026905974168E-2</v>
      </c>
      <c r="BW193" s="29">
        <f>IF($Z$3="yes", 1.05184423267236/$X193, 1.05184423267236)</f>
        <v>0.14080913422655422</v>
      </c>
      <c r="BX193" s="29">
        <f>$BW$180 - $BV$180</f>
        <v>0.22627271511449959</v>
      </c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</row>
    <row r="194" spans="1:95" ht="15.75" customHeight="1" thickBot="1" x14ac:dyDescent="0.3">
      <c r="A194" s="58" t="s">
        <v>837</v>
      </c>
      <c r="B194" s="23" t="s">
        <v>181</v>
      </c>
      <c r="C194" s="53">
        <v>0</v>
      </c>
      <c r="D194" s="31" t="s">
        <v>888</v>
      </c>
      <c r="E194" s="59" t="s">
        <v>889</v>
      </c>
      <c r="F194" s="32">
        <v>8.0000000000000004E-4</v>
      </c>
      <c r="G194" s="33">
        <v>44375</v>
      </c>
      <c r="H194" s="323">
        <v>4.0000000000000002E-4</v>
      </c>
      <c r="I194" s="34">
        <v>8.0000000000000004E-4</v>
      </c>
      <c r="J194" s="324">
        <v>44375</v>
      </c>
      <c r="K194" s="35">
        <f t="shared" si="10"/>
        <v>-0.5</v>
      </c>
      <c r="L194" s="35">
        <f t="shared" si="11"/>
        <v>0</v>
      </c>
      <c r="M194" s="322">
        <v>44407</v>
      </c>
      <c r="N194" s="54"/>
      <c r="O194" s="55">
        <v>6176030988</v>
      </c>
      <c r="P194" s="55"/>
      <c r="Q194" s="55"/>
      <c r="R194" s="54"/>
      <c r="S194" s="55" t="s">
        <v>135</v>
      </c>
      <c r="T194" s="54"/>
      <c r="U194" s="54">
        <v>168</v>
      </c>
      <c r="V194" s="54">
        <v>92521238</v>
      </c>
      <c r="W194" s="54"/>
      <c r="X194" s="54">
        <v>8.0000000000000004E-4</v>
      </c>
      <c r="Y194" s="54">
        <v>3.9700000000000033E-4</v>
      </c>
      <c r="Z194" s="54">
        <v>6.6100000000000024E-4</v>
      </c>
      <c r="AA194" s="54">
        <v>7.2199999999999988E-4</v>
      </c>
      <c r="AB194" s="54">
        <v>6.9400000000000017E-4</v>
      </c>
      <c r="AC194" s="54">
        <v>7.3499999999999998E-4</v>
      </c>
      <c r="AD194" s="54">
        <v>7.5000000000000023E-4</v>
      </c>
      <c r="AE194" s="54">
        <v>8.25E-4</v>
      </c>
      <c r="AF194" s="54">
        <f>IF($Z$3="yes", 4.38025950648766E-06/$X194, 4.38025950648766E-06)</f>
        <v>5.4753243831095755E-3</v>
      </c>
      <c r="AG194" s="54">
        <f>IF($Z$3="yes", 1.21752175217517E-06/$X194, 1.21752175217517E-06)</f>
        <v>1.5219021902189624E-3</v>
      </c>
      <c r="AH194" s="54">
        <f>IF($Z$3="yes", 1.09963985594245E-06/$X194, 1.09963985594245E-06)</f>
        <v>1.3745498199280624E-3</v>
      </c>
      <c r="AI194" s="54">
        <f>IF($Z$3="yes", 6.48259303721635E-07/$X194, 6.48259303721635E-07)</f>
        <v>8.1032412965204373E-4</v>
      </c>
      <c r="AJ194" s="54">
        <f>IF($Z$3="yes", 0.00001/$X194, 0.00001)</f>
        <v>1.2500000000000001E-2</v>
      </c>
      <c r="AK194" s="54">
        <f>IF($Z$3="yes", 0.0000199999999999998/$X194, 0.0000199999999999998)</f>
        <v>2.4999999999999748E-2</v>
      </c>
      <c r="AL194" s="54">
        <f>IF($Z$3="yes", 7.14285714285726E-06/$X194, 7.14285714285726E-06)</f>
        <v>8.9285714285715738E-3</v>
      </c>
      <c r="AM194" s="54">
        <f>IF($Z$3="yes", 0.000263999999999999/$X194, 0.000263999999999999)</f>
        <v>0.32999999999999874</v>
      </c>
      <c r="AN194" s="54">
        <f>IF($Z$3="yes", 0.000324999999999999/$X194, 0.000324999999999999)</f>
        <v>0.40624999999999872</v>
      </c>
      <c r="AO194" s="54">
        <f>IF($Z$3="yes", 0.000296999999999999/$X194, 0.000296999999999999)</f>
        <v>0.37124999999999869</v>
      </c>
      <c r="AP194" s="54">
        <f>IF($Z$3="yes", 0.000337999999999999/$X194, 0.000337999999999999)</f>
        <v>0.42249999999999871</v>
      </c>
      <c r="AQ194" s="54">
        <f>IF($Z$3="yes", 0.000352999999999999/$X194, 0.000352999999999999)</f>
        <v>0.4412499999999987</v>
      </c>
      <c r="AR194" s="54">
        <f>IF($Z$3="yes", 0.000427999999999999/$X194, 0.000427999999999999)</f>
        <v>0.5349999999999987</v>
      </c>
      <c r="AS194" s="54">
        <f>IF($Z$3="yes", 0.0000609999999999996/$X194, 0.0000609999999999996)</f>
        <v>7.6249999999999499E-2</v>
      </c>
      <c r="AT194" s="54">
        <f>IF($Z$3="yes", 0.0000329999999999999/$X194, 0.0000329999999999999)</f>
        <v>4.1249999999999877E-2</v>
      </c>
      <c r="AU194" s="56">
        <f>IF($Z$3="yes", 0.0000739999999999997/$X194, 0.0000739999999999997)</f>
        <v>9.2499999999999624E-2</v>
      </c>
      <c r="AV194" s="56">
        <f>IF($Z$3="yes", 0.000089/$X194, 0.000089)</f>
        <v>0.11124999999999999</v>
      </c>
      <c r="AW194" s="56">
        <f>IF($Z$3="yes", 0.000163999999999999/$X194, 0.000163999999999999)</f>
        <v>0.20499999999999874</v>
      </c>
      <c r="AX194" s="56">
        <f>IF($Z$3="yes", 0.0000279999999999997/$X194, 0.0000279999999999997)</f>
        <v>3.4999999999999622E-2</v>
      </c>
      <c r="AY194" s="56">
        <f>IF($Z$3="yes", 0.0000409999999999998/$X194, 0.0000409999999999998)</f>
        <v>5.1249999999999747E-2</v>
      </c>
      <c r="AZ194" s="56">
        <f>IF($Z$3="yes", 0.000056/$X194, 0.000056)</f>
        <v>6.9999999999999993E-2</v>
      </c>
      <c r="BA194" s="56">
        <f>IF($Z$3="yes", 0.000130999999999999/$X194, 0.000130999999999999)</f>
        <v>0.16374999999999876</v>
      </c>
      <c r="BB194" s="56">
        <f>IF($Z$3="yes", 0.000013/$X194, 0.000013)</f>
        <v>1.6249999999999997E-2</v>
      </c>
      <c r="BC194" s="56">
        <f>IF($Z$3="yes", 0.0000280000000000003/$X194, 0.0000280000000000003)</f>
        <v>3.5000000000000378E-2</v>
      </c>
      <c r="BD194" s="56">
        <f>IF($Z$3="yes", 0.000103/$X194, 0.000103)</f>
        <v>0.12874999999999998</v>
      </c>
      <c r="BE194" s="56">
        <f>IF($Z$3="yes", 0.0000150000000000002/$X194, 0.0000150000000000002)</f>
        <v>1.8750000000000249E-2</v>
      </c>
      <c r="BF194" s="56">
        <f>IF($Z$3="yes", 0.00009/$X194, 0.00009)</f>
        <v>0.1125</v>
      </c>
      <c r="BG194" s="56">
        <f>IF($Z$3="yes", 0.0000749999999999997/$X194, 0.0000749999999999997)</f>
        <v>9.3749999999999611E-2</v>
      </c>
      <c r="BH194" s="56">
        <f>IF($Z$3="yes", 0.000190095238095238/$X194, 0.000190095238095238)</f>
        <v>0.23761904761904751</v>
      </c>
      <c r="BK194">
        <f>IF($BL$3="yes", MAX(0, (92521238 - 110700231) / 36998705.7634975), 110700231)</f>
        <v>110700231</v>
      </c>
      <c r="BL194">
        <f>IF($BL$3="yes", MAX(0, (92521238 - 148583573.1) / 116720711.959661), 148583573.1)</f>
        <v>148583573.09999999</v>
      </c>
      <c r="BM194">
        <f>IF($BL$3="yes", MAX(0, (92521238 - 98069652.35) / 101545737.134299), 98069652.35)</f>
        <v>98069652.349999994</v>
      </c>
      <c r="BN194">
        <f>IF($BL$3="yes", MAX(0, (92521238 - 123356848.88) / 163506892.782211), 123356848.88)</f>
        <v>123356848.88</v>
      </c>
      <c r="BO194">
        <f>IF($BL$3="yes", MAX(0, (92521238 - 164718909.67) / 206613360.564051), 164718909.67)</f>
        <v>164718909.66999999</v>
      </c>
      <c r="BP194">
        <f>IF($BL$3="yes", MAX(0, (92521238 - 119575938.725) / 210679327.183767), 119575938.725)</f>
        <v>119575938.72499999</v>
      </c>
      <c r="BQ194">
        <v>54.285787959494158</v>
      </c>
      <c r="BT194">
        <v>351238207</v>
      </c>
      <c r="BU194">
        <v>40893822.028666198</v>
      </c>
      <c r="BV194">
        <f>IF($Z$3="yes", 0.000142791338446438/$X194, 0.000142791338446438)</f>
        <v>0.17848917305804748</v>
      </c>
      <c r="BW194">
        <f>IF($Z$3="yes", 0.00016857214945453/$X194, 0.00016857214945453)</f>
        <v>0.21071518681816248</v>
      </c>
      <c r="BX194">
        <f>$BW$195 - $BV$195</f>
        <v>2.3095967473861265E-2</v>
      </c>
    </row>
    <row r="195" spans="1:95" ht="15.75" customHeight="1" thickBot="1" x14ac:dyDescent="0.3">
      <c r="A195" s="58" t="s">
        <v>745</v>
      </c>
      <c r="B195" s="23" t="s">
        <v>128</v>
      </c>
      <c r="C195" s="53">
        <v>0</v>
      </c>
      <c r="D195" s="31" t="s">
        <v>890</v>
      </c>
      <c r="E195" s="27"/>
      <c r="F195" s="61">
        <v>0.66600000000000004</v>
      </c>
      <c r="G195" s="33">
        <v>44375</v>
      </c>
      <c r="H195" s="323">
        <v>0.57999999999999996</v>
      </c>
      <c r="I195" s="323">
        <v>0.68679999999999997</v>
      </c>
      <c r="J195" s="324">
        <v>44377</v>
      </c>
      <c r="K195" s="35">
        <f t="shared" si="10"/>
        <v>-0.12912912912912922</v>
      </c>
      <c r="L195" s="35">
        <f t="shared" si="11"/>
        <v>3.123123123123106E-2</v>
      </c>
      <c r="M195" s="322">
        <v>44407</v>
      </c>
      <c r="N195" s="54"/>
      <c r="O195" s="55">
        <v>58429116</v>
      </c>
      <c r="P195" s="55">
        <v>48970000</v>
      </c>
      <c r="Q195" s="55">
        <v>2</v>
      </c>
      <c r="R195" s="54" t="s">
        <v>131</v>
      </c>
      <c r="S195" s="55" t="s">
        <v>220</v>
      </c>
      <c r="T195" s="54" t="s">
        <v>516</v>
      </c>
      <c r="U195" s="54">
        <v>84</v>
      </c>
      <c r="V195" s="54">
        <v>501292</v>
      </c>
      <c r="W195" s="54"/>
      <c r="X195" s="54">
        <v>0.66600000000000004</v>
      </c>
      <c r="Y195" s="54">
        <v>0.65187750000000022</v>
      </c>
      <c r="Z195" s="54">
        <v>0.789605</v>
      </c>
      <c r="AA195" s="54">
        <v>0.67994999999999961</v>
      </c>
      <c r="AB195" s="54">
        <v>0.70346600000000048</v>
      </c>
      <c r="AC195" s="54">
        <v>0.68145999999999995</v>
      </c>
      <c r="AD195" s="54">
        <v>0.66935714285714287</v>
      </c>
      <c r="AE195" s="54">
        <v>0.65759999999999974</v>
      </c>
      <c r="AF195" s="54">
        <f>IF($Z$3="yes", 0.00198750206255157/$X195, 0.00198750206255157)</f>
        <v>2.9842373311585136E-3</v>
      </c>
      <c r="AG195" s="54">
        <f>IF($Z$3="yes", -0.00390444344434443/$X195, -0.00390444344434443)</f>
        <v>-5.8625276942108557E-3</v>
      </c>
      <c r="AH195" s="54">
        <f>IF($Z$3="yes", -0.000409695078031129/$X195, -0.000409695078031129)</f>
        <v>-6.1515777482151496E-4</v>
      </c>
      <c r="AI195" s="54">
        <f>IF($Z$3="yes", -0.00178889315726308/$X195, -0.00178889315726308)</f>
        <v>-2.6860257616562761E-3</v>
      </c>
      <c r="AJ195" s="54">
        <f>IF($Z$3="yes", -0.00350120300751878/$X195, -0.00350120300751878)</f>
        <v>-5.2570615728510205E-3</v>
      </c>
      <c r="AK195" s="54">
        <f>IF($Z$3="yes", -0.0031490109890109/$X195, -0.0031490109890109)</f>
        <v>-4.7282447282445943E-3</v>
      </c>
      <c r="AL195" s="54">
        <f>IF($Z$3="yes", 0.00360476190476196/$X195, 0.00360476190476196)</f>
        <v>5.4125554125554953E-3</v>
      </c>
      <c r="AM195" s="54">
        <f>IF($Z$3="yes", 0.137727499999999/$X195, 0.137727499999999)</f>
        <v>0.20679804804804655</v>
      </c>
      <c r="AN195" s="54">
        <f>IF($Z$3="yes", 0.0280724999999993/$X195, 0.0280724999999993)</f>
        <v>4.2150900900899846E-2</v>
      </c>
      <c r="AO195" s="54">
        <f>IF($Z$3="yes", 0.0515885000000002/$X195, 0.0515885000000002)</f>
        <v>7.7460210210210503E-2</v>
      </c>
      <c r="AP195" s="54">
        <f>IF($Z$3="yes", 0.0295824999999997/$X195, 0.0295824999999997)</f>
        <v>4.4418168168167717E-2</v>
      </c>
      <c r="AQ195" s="54">
        <f>IF($Z$3="yes", 0.0174796428571426/$X195, 0.0174796428571426)</f>
        <v>2.6245709995709608E-2</v>
      </c>
      <c r="AR195" s="54">
        <f>IF($Z$3="yes", 0.00572249999999952/$X195, 0.00572249999999952)</f>
        <v>8.5923423423416214E-3</v>
      </c>
      <c r="AS195" s="54">
        <f>IF($Z$3="yes", 0.109655/$X195, 0.109655)</f>
        <v>0.16464714714714715</v>
      </c>
      <c r="AT195" s="54">
        <f>IF($Z$3="yes", 0.0861389999999995/$X195, 0.0861389999999995)</f>
        <v>0.12933783783783706</v>
      </c>
      <c r="AU195" s="56">
        <f>IF($Z$3="yes", 0.108145/$X195, 0.108145)</f>
        <v>0.16237987987987987</v>
      </c>
      <c r="AV195" s="56">
        <f>IF($Z$3="yes", 0.120247857142857/$X195, 0.120247857142857)</f>
        <v>0.18055233805233784</v>
      </c>
      <c r="AW195" s="56">
        <f>IF($Z$3="yes", 0.132005/$X195, 0.132005)</f>
        <v>0.1982057057057057</v>
      </c>
      <c r="AX195" s="56">
        <f>IF($Z$3="yes", 0.0235160000000008/$X195, 0.0235160000000008)</f>
        <v>3.5309309309310512E-2</v>
      </c>
      <c r="AY195" s="56">
        <f>IF($Z$3="yes", 0.0220060000000005/$X195, 0.0220060000000005)</f>
        <v>3.3042042042042793E-2</v>
      </c>
      <c r="AZ195" s="56">
        <f>IF($Z$3="yes", 0.0341088571428576/$X195, 0.0341088571428576)</f>
        <v>5.1214500214500899E-2</v>
      </c>
      <c r="BA195" s="56">
        <f>IF($Z$3="yes", 0.0458660000000007/$X195, 0.0458660000000007)</f>
        <v>6.8867867867868915E-2</v>
      </c>
      <c r="BB195" s="56">
        <f>IF($Z$3="yes", 0.00151000000000034/$X195, 0.00151000000000034)</f>
        <v>2.2672672672677777E-3</v>
      </c>
      <c r="BC195" s="56">
        <f>IF($Z$3="yes", 0.0105928571428567/$X195, 0.0105928571428567)</f>
        <v>1.5905190905190238E-2</v>
      </c>
      <c r="BD195" s="56">
        <f>IF($Z$3="yes", 0.0223499999999998/$X195, 0.0223499999999998)</f>
        <v>3.3558558558558257E-2</v>
      </c>
      <c r="BE195" s="56">
        <f>IF($Z$3="yes", 0.012102857142857/$X195, 0.012102857142857)</f>
        <v>1.8172458172457957E-2</v>
      </c>
      <c r="BF195" s="56">
        <f>IF($Z$3="yes", 0.0238600000000002/$X195, 0.0238600000000002)</f>
        <v>3.5825825825826128E-2</v>
      </c>
      <c r="BG195" s="56">
        <f>IF($Z$3="yes", 0.0117571428571431/$X195, 0.0117571428571431)</f>
        <v>1.7653367653368016E-2</v>
      </c>
      <c r="BH195" s="56">
        <f>IF($Z$3="yes", 0.104532945578231/$X195, 0.104532945578231)</f>
        <v>0.15695637474208859</v>
      </c>
      <c r="BK195">
        <f>IF($BL$3="yes", MAX(0, (501292 - 857370.2) / 712651.954419939), 857370.2)</f>
        <v>857370.2</v>
      </c>
      <c r="BL195">
        <f>IF($BL$3="yes", MAX(0, (501292 - 610392.4) / 562777.620012594), 610392.4)</f>
        <v>610392.4</v>
      </c>
      <c r="BM195">
        <f>IF($BL$3="yes", MAX(0, (501292 - 723023.05) / 484889.088241782), 723023.05)</f>
        <v>723023.05</v>
      </c>
      <c r="BN195">
        <f>IF($BL$3="yes", MAX(0, (501292 - 701489.5) / 445219.067397938), 701489.5)</f>
        <v>701489.5</v>
      </c>
      <c r="BO195">
        <f>IF($BL$3="yes", MAX(0, (501292 - 2425304.65) / 3243364.26811055), 2425304.65)</f>
        <v>2425304.65</v>
      </c>
      <c r="BP195">
        <f>IF($BL$3="yes", MAX(0, (501292 - 1947056.375) / 3930663.72796196), 1947056.375)</f>
        <v>1947056.375</v>
      </c>
      <c r="BQ195">
        <v>48.347212671044417</v>
      </c>
      <c r="BT195">
        <v>-836756.97437692946</v>
      </c>
      <c r="BU195">
        <v>188085.6013385946</v>
      </c>
      <c r="BV195">
        <f>IF($Z$3="yes", 0.0363299929887186/$X195, 0.0363299929887186)</f>
        <v>5.4549539022099996E-2</v>
      </c>
      <c r="BW195">
        <f>IF($Z$3="yes", 0.0517119073263102/$X195, 0.0517119073263102)</f>
        <v>7.7645506495961261E-2</v>
      </c>
      <c r="BX195">
        <f>$BW$181 - $BV$181</f>
        <v>4.6221272378823286E-2</v>
      </c>
    </row>
    <row r="196" spans="1:95" x14ac:dyDescent="0.25">
      <c r="A196" s="58" t="s">
        <v>745</v>
      </c>
      <c r="B196" s="31" t="s">
        <v>128</v>
      </c>
      <c r="C196" s="53">
        <v>2</v>
      </c>
      <c r="D196" s="296" t="s">
        <v>472</v>
      </c>
      <c r="E196" s="27"/>
      <c r="F196" s="32">
        <v>4.5</v>
      </c>
      <c r="G196" s="33">
        <v>44375</v>
      </c>
      <c r="H196" s="323">
        <v>3.9</v>
      </c>
      <c r="I196" s="323">
        <v>5.14</v>
      </c>
      <c r="J196" s="324">
        <v>44384</v>
      </c>
      <c r="K196" s="35">
        <f t="shared" si="10"/>
        <v>-0.1333333333333333</v>
      </c>
      <c r="L196" s="35">
        <f t="shared" si="11"/>
        <v>0.14222222222222225</v>
      </c>
      <c r="M196" s="322">
        <v>44407</v>
      </c>
      <c r="N196" s="54"/>
      <c r="O196" s="55">
        <v>12354040</v>
      </c>
      <c r="P196" s="55">
        <v>3090000</v>
      </c>
      <c r="Q196" s="55">
        <v>9</v>
      </c>
      <c r="R196" s="54" t="s">
        <v>152</v>
      </c>
      <c r="S196" s="55" t="s">
        <v>473</v>
      </c>
      <c r="T196" s="54" t="s">
        <v>474</v>
      </c>
      <c r="U196" s="54">
        <v>92</v>
      </c>
      <c r="V196" s="54">
        <v>454033</v>
      </c>
      <c r="W196" s="54"/>
      <c r="X196" s="54">
        <v>4.49</v>
      </c>
      <c r="Y196" s="54" t="e">
        <v>#N/A</v>
      </c>
      <c r="Z196" s="54">
        <v>6.0483500000000001</v>
      </c>
      <c r="AA196" s="54">
        <v>4.6025000000000018</v>
      </c>
      <c r="AB196" s="54">
        <v>4.6717000000000093</v>
      </c>
      <c r="AC196" s="54">
        <v>4.7364999999999986</v>
      </c>
      <c r="AD196" s="54">
        <v>4.6328571428571417</v>
      </c>
      <c r="AE196" s="54">
        <v>4.451249999999999</v>
      </c>
      <c r="AF196" s="54" t="e">
        <f>IF($Z$3="yes", #N/A/$X196, #N/A)</f>
        <v>#N/A</v>
      </c>
      <c r="AG196" s="54">
        <f>IF($Z$3="yes", -0.0651377437743773/$X196, -0.0651377437743773)</f>
        <v>-1.4507292600084029E-2</v>
      </c>
      <c r="AH196" s="54">
        <f>IF($Z$3="yes", 0.00473157262905117/$X196, 0.00473157262905117)</f>
        <v>1.0538023672719756E-3</v>
      </c>
      <c r="AI196" s="54">
        <f>IF($Z$3="yes", 0.00315174069627605/$X196, 0.00315174069627605)</f>
        <v>7.0194670295680394E-4</v>
      </c>
      <c r="AJ196" s="54">
        <f>IF($Z$3="yes", -0.0380827067669172/$X196, -0.0380827067669172)</f>
        <v>-8.481671885727661E-3</v>
      </c>
      <c r="AK196" s="54">
        <f>IF($Z$3="yes", -0.0487912087912092/$X196, -0.0487912087912092)</f>
        <v>-1.0866638928999821E-2</v>
      </c>
      <c r="AL196" s="54">
        <f>IF($Z$3="yes", 0.0151190476190528/$X196, 0.0151190476190528)</f>
        <v>3.3672711846442762E-3</v>
      </c>
      <c r="AM196" s="54"/>
      <c r="AN196" s="54"/>
      <c r="AO196" s="54"/>
      <c r="AP196" s="54"/>
      <c r="AQ196" s="54"/>
      <c r="AR196" s="54"/>
      <c r="AS196" s="54">
        <f>IF($Z$3="yes", 1.44584999999999/$X196, 1.44584999999999)</f>
        <v>0.32201559020044324</v>
      </c>
      <c r="AT196" s="54">
        <f>IF($Z$3="yes", 1.37664999999999/$X196, 1.37664999999999)</f>
        <v>0.30660356347438528</v>
      </c>
      <c r="AU196" s="56">
        <f>IF($Z$3="yes", 1.31185/$X196, 1.31185)</f>
        <v>0.29217149220489974</v>
      </c>
      <c r="AV196" s="56">
        <f>IF($Z$3="yes", 1.41549285714285/$X196, 1.41549285714285)</f>
        <v>0.31525453388482183</v>
      </c>
      <c r="AW196" s="56">
        <f>IF($Z$3="yes", 1.5971/$X196, 1.5971)</f>
        <v>0.35570155902004452</v>
      </c>
      <c r="AX196" s="56">
        <f>IF($Z$3="yes", 0.0692000000000074/$X196, 0.0692000000000074)</f>
        <v>1.5412026726059553E-2</v>
      </c>
      <c r="AY196" s="56">
        <f>IF($Z$3="yes", 0.0647999999999902/$X196, 0.0647999999999902)</f>
        <v>1.4432071269485567E-2</v>
      </c>
      <c r="AZ196" s="56">
        <f>IF($Z$3="yes", 0.0388428571428676/$X196, 0.0388428571428676)</f>
        <v>8.6509704104382173E-3</v>
      </c>
      <c r="BA196" s="56">
        <f>IF($Z$3="yes", 0.22045000000001/$X196, 0.22045000000001)</f>
        <v>4.9097995545659238E-2</v>
      </c>
      <c r="BB196" s="56">
        <f>IF($Z$3="yes", 0.133999999999997/$X196, 0.133999999999997)</f>
        <v>2.984409799554499E-2</v>
      </c>
      <c r="BC196" s="56">
        <f>IF($Z$3="yes", 0.0303571428571398/$X196, 0.0303571428571398)</f>
        <v>6.761056315621336E-3</v>
      </c>
      <c r="BD196" s="56">
        <f>IF($Z$3="yes", 0.151250000000002/$X196, 0.151250000000002)</f>
        <v>3.3685968819599552E-2</v>
      </c>
      <c r="BE196" s="56">
        <f>IF($Z$3="yes", 0.103642857142857/$X196, 0.103642857142857)</f>
        <v>2.3083041679923606E-2</v>
      </c>
      <c r="BF196" s="56">
        <f>IF($Z$3="yes", 0.28525/$X196, 0.28525)</f>
        <v>6.3530066815144767E-2</v>
      </c>
      <c r="BG196" s="56">
        <f>IF($Z$3="yes", 0.181607142857142/$X196, 0.181607142857142)</f>
        <v>4.0447025135220929E-2</v>
      </c>
      <c r="BH196" s="56">
        <f>IF($Z$3="yes", 0.833830952380953/$X196, 0.833830952380953)</f>
        <v>0.18570845264609195</v>
      </c>
      <c r="BK196">
        <f>IF($BL$3="yes", MAX(0, (454033 - 305269.2) / 150565.886167352), 305269.2)</f>
        <v>305269.2</v>
      </c>
      <c r="BL196">
        <f>IF($BL$3="yes", MAX(0, (454033 - 283583.4) / 155339.995280159), 283583.4)</f>
        <v>283583.40000000002</v>
      </c>
      <c r="BM196">
        <f>IF($BL$3="yes", MAX(0, (454033 - 505255.7) / 492295.68024553), 505255.7)</f>
        <v>505255.7</v>
      </c>
      <c r="BN196">
        <f>IF($BL$3="yes", MAX(0, (454033 - 480851.94) / 565376.610192442), 480851.94)</f>
        <v>480851.94</v>
      </c>
      <c r="BO196">
        <f>IF($BL$3="yes", MAX(0, (454033 - 884064.03) / 1315760.46082537), 884064.03)</f>
        <v>884064.03</v>
      </c>
      <c r="BP196">
        <f>IF($BL$3="yes", MAX(0, (454033 - 799494.325581395) / 2154962.19137625), 799494.325581395)</f>
        <v>799494.32558139495</v>
      </c>
      <c r="BQ196">
        <v>38.655282138246093</v>
      </c>
      <c r="BT196">
        <v>-2975485.6104239202</v>
      </c>
      <c r="BU196">
        <v>-144232.67274340711</v>
      </c>
      <c r="BV196">
        <f>IF($Z$3="yes", 0.344173308259297/$X196, 0.344173308259297)</f>
        <v>7.6653298053295543E-2</v>
      </c>
      <c r="BW196">
        <f>IF($Z$3="yes", 0.469549460715902/$X196, 0.469549460715902)</f>
        <v>0.10457671730866414</v>
      </c>
      <c r="BX196">
        <f>$BW$182 - $BV$182</f>
        <v>2.6813372101116756E-2</v>
      </c>
    </row>
  </sheetData>
  <mergeCells count="25">
    <mergeCell ref="B1:B4"/>
    <mergeCell ref="C1:G1"/>
    <mergeCell ref="I1:J1"/>
    <mergeCell ref="K1:L1"/>
    <mergeCell ref="N1:O1"/>
    <mergeCell ref="C3:G3"/>
    <mergeCell ref="I3:J3"/>
    <mergeCell ref="K3:L3"/>
    <mergeCell ref="N3:O3"/>
    <mergeCell ref="R1:U1"/>
    <mergeCell ref="C2:G2"/>
    <mergeCell ref="I2:J2"/>
    <mergeCell ref="K2:L2"/>
    <mergeCell ref="N2:O2"/>
    <mergeCell ref="P2:Q2"/>
    <mergeCell ref="R2:U2"/>
    <mergeCell ref="P1:Q1"/>
    <mergeCell ref="P3:Q3"/>
    <mergeCell ref="R3:U3"/>
    <mergeCell ref="C4:G4"/>
    <mergeCell ref="I4:J4"/>
    <mergeCell ref="K4:L4"/>
    <mergeCell ref="N4:O4"/>
    <mergeCell ref="P4:Q4"/>
    <mergeCell ref="R4:U4"/>
  </mergeCells>
  <conditionalFormatting sqref="K6:L196">
    <cfRule type="colorScale" priority="8">
      <colorScale>
        <cfvo type="min"/>
        <cfvo type="num" val="0"/>
        <cfvo type="percentile" val="90"/>
        <color rgb="FFF8696B"/>
        <color theme="0"/>
        <color rgb="FF63BE7B"/>
      </colorScale>
    </cfRule>
  </conditionalFormatting>
  <dataValidations count="3">
    <dataValidation type="list" showInputMessage="1" showErrorMessage="1" sqref="Z3" xr:uid="{00000000-0002-0000-0100-000000000000}">
      <formula1>"yes, no"</formula1>
    </dataValidation>
    <dataValidation type="list" showInputMessage="1" showErrorMessage="1" sqref="BL3" xr:uid="{00000000-0002-0000-0100-000001000000}">
      <formula1>"yes,no"</formula1>
    </dataValidation>
    <dataValidation type="list" showInputMessage="1" showErrorMessage="1" sqref="A6:A196" xr:uid="{00000000-0002-0000-0100-000002000000}">
      <formula1>"BOTTOMFEEDER,Reverse Split,Gap Fill Snake,MACD Divergence LF,MACD Divergence MF,MACD Divergence,100 or 200 SMA Bounce,OTC MEGA REVERSAL,OTC TRIPS BOTTOMFEEDER,OTC 200 OR 100 OR 50SMA BOUNCE,OTC GAP FILL SNAKE,OTC MA TIGHTEN,OVERSOLD,BOUNCERS,FRONTLOAD "</formula1>
    </dataValidation>
  </dataValidations>
  <hyperlinks>
    <hyperlink ref="E9" r:id="rId1" display="https://twitter.com/efitz_kiwi/status/1430397014978797573" xr:uid="{00000000-0004-0000-0100-000000000000}"/>
    <hyperlink ref="E10" r:id="rId2" display="https://twitter.com/efitz_kiwi/status/1430211465118617612" xr:uid="{00000000-0004-0000-0100-000001000000}"/>
    <hyperlink ref="E11" r:id="rId3" display="https://twitter.com/efitz_kiwi/status/1430033495246745602" xr:uid="{00000000-0004-0000-0100-000002000000}"/>
    <hyperlink ref="E12" r:id="rId4" display="https://twitter.com/efitz_kiwi/status/1429869411163332608" xr:uid="{00000000-0004-0000-0100-000003000000}"/>
    <hyperlink ref="E13" r:id="rId5" display="https://twitter.com/efitz_kiwi/status/1429854431525412871" xr:uid="{00000000-0004-0000-0100-000004000000}"/>
    <hyperlink ref="E14" r:id="rId6" display="https://twitter.com/efitz_kiwi/status/1429836871119540224" xr:uid="{00000000-0004-0000-0100-000005000000}"/>
    <hyperlink ref="E15" r:id="rId7" display="https://twitter.com/efitz_kiwi/status/1428792189778382848" xr:uid="{00000000-0004-0000-0100-000006000000}"/>
    <hyperlink ref="E16" r:id="rId8" display="https://twitter.com/efitz_kiwi/status/1428767015871918084" xr:uid="{00000000-0004-0000-0100-000007000000}"/>
    <hyperlink ref="E17" r:id="rId9" display="https://twitter.com/efitz_kiwi/status/1428757619305484300" xr:uid="{00000000-0004-0000-0100-000008000000}"/>
    <hyperlink ref="E18" r:id="rId10" display="https://twitter.com/efitz_kiwi/status/1428394190170427397" xr:uid="{00000000-0004-0000-0100-000009000000}"/>
    <hyperlink ref="E19" r:id="rId11" display="https://twitter.com/efitz_kiwi/status/1428061757503901698" xr:uid="{00000000-0004-0000-0100-00000A000000}"/>
    <hyperlink ref="E20" r:id="rId12" display="https://twitter.com/efitz_kiwi/status/1427998843648499719" xr:uid="{00000000-0004-0000-0100-00000B000000}"/>
    <hyperlink ref="E36" r:id="rId13" display="https://twitter.com/efitz_kiwi/status/1422590099796156418" xr:uid="{00000000-0004-0000-0100-00000C000000}"/>
    <hyperlink ref="E37" r:id="rId14" display="https://twitter.com/efitz_kiwi/status/1422592055881125889" xr:uid="{00000000-0004-0000-0100-00000D000000}"/>
    <hyperlink ref="E44" r:id="rId15" xr:uid="{00000000-0004-0000-0100-00000E000000}"/>
    <hyperlink ref="E48" r:id="rId16" xr:uid="{00000000-0004-0000-0100-00000F000000}"/>
    <hyperlink ref="E49" r:id="rId17" xr:uid="{00000000-0004-0000-0100-000010000000}"/>
    <hyperlink ref="E53" r:id="rId18" xr:uid="{00000000-0004-0000-0100-000011000000}"/>
    <hyperlink ref="E56" r:id="rId19" xr:uid="{00000000-0004-0000-0100-000012000000}"/>
    <hyperlink ref="E59" r:id="rId20" xr:uid="{00000000-0004-0000-0100-000013000000}"/>
    <hyperlink ref="E64" r:id="rId21" display="https://twitter.com/efitz_kiwi/status/1418436640750583815" xr:uid="{00000000-0004-0000-0100-000014000000}"/>
    <hyperlink ref="E72" r:id="rId22" display="https://twitter.com/efitz_kiwi/status/1417706139911921671" xr:uid="{00000000-0004-0000-0100-000015000000}"/>
    <hyperlink ref="E75" r:id="rId23" display="https://twitter.com/efitz_kiwi/status/1417715625057832962" xr:uid="{00000000-0004-0000-0100-000016000000}"/>
    <hyperlink ref="E77" r:id="rId24" display="https://twitter.com/efitz_kiwi/status/1417341994561679362" xr:uid="{00000000-0004-0000-0100-000017000000}"/>
    <hyperlink ref="E78" r:id="rId25" display="https://twitter.com/efitz_kiwi/status/1417339014944894976" xr:uid="{00000000-0004-0000-0100-000018000000}"/>
    <hyperlink ref="E79" r:id="rId26" display="https://twitter.com/efitz_kiwi/status/1417338740050169857" xr:uid="{00000000-0004-0000-0100-000019000000}"/>
    <hyperlink ref="E82" r:id="rId27" display="https://twitter.com/efitz_kiwi/status/1417340599758372864" xr:uid="{00000000-0004-0000-0100-00001A000000}"/>
    <hyperlink ref="E87" r:id="rId28" display="https://twitter.com/efitz_kiwi/status/1416842127355564040" xr:uid="{00000000-0004-0000-0100-00001B000000}"/>
    <hyperlink ref="E102" r:id="rId29" display="https://twitter.com/efitz_kiwi/status/1415071672336531456" xr:uid="{00000000-0004-0000-0100-00001C000000}"/>
    <hyperlink ref="E105" r:id="rId30" display="https://twitter.com/efitz_kiwi/status/1415067289016225793" xr:uid="{00000000-0004-0000-0100-00001D000000}"/>
    <hyperlink ref="E126" r:id="rId31" display="https://twitter.com/efitz_kiwi/status/1414427206940508162" xr:uid="{00000000-0004-0000-0100-00001E000000}"/>
    <hyperlink ref="E134" r:id="rId32" display="https://twitter.com/efitz_kiwi/status/1412972407141326854" xr:uid="{00000000-0004-0000-0100-00001F000000}"/>
    <hyperlink ref="E139" r:id="rId33" display="https://twitter.com/efitz_kiwi/status/1412471677410283526" xr:uid="{00000000-0004-0000-0100-000020000000}"/>
    <hyperlink ref="E146" r:id="rId34" display="https://twitter.com/efitz_kiwi/status/1412590237176508424" xr:uid="{00000000-0004-0000-0100-000021000000}"/>
    <hyperlink ref="E150" r:id="rId35" display="https://twitter.com/efitz_kiwi/status/1412471211188174853" xr:uid="{00000000-0004-0000-0100-000022000000}"/>
    <hyperlink ref="E153" r:id="rId36" display="https://twitter.com/efitz_kiwi/status/1412424623065534464" xr:uid="{00000000-0004-0000-0100-000023000000}"/>
    <hyperlink ref="E156" r:id="rId37" display="https://twitter.com/efitz_kiwi/status/1411024700478836737" xr:uid="{00000000-0004-0000-0100-000024000000}"/>
    <hyperlink ref="E159" r:id="rId38" xr:uid="{00000000-0004-0000-0100-000025000000}"/>
    <hyperlink ref="E161" r:id="rId39" display="https://twitter.com/efitz_kiwi/status/1411020770696908803" xr:uid="{00000000-0004-0000-0100-000026000000}"/>
    <hyperlink ref="E164" r:id="rId40" display="https://twitter.com/efitz_kiwi/status/1410352117693489154" xr:uid="{00000000-0004-0000-0100-000027000000}"/>
    <hyperlink ref="E167" r:id="rId41" display="https://twitter.com/efitz_kiwi/status/1410352451669180424" xr:uid="{00000000-0004-0000-0100-000028000000}"/>
    <hyperlink ref="E178" r:id="rId42" display="https://twitter.com/efitz_kiwi/status/1411041436158550017" xr:uid="{00000000-0004-0000-0100-000029000000}"/>
    <hyperlink ref="E181" r:id="rId43" display="https://twitter.com/efitz_kiwi/status/1409718914158940162" xr:uid="{00000000-0004-0000-0100-00002A000000}"/>
    <hyperlink ref="E190" r:id="rId44" display="https://twitter.com/efitz_kiwi/status/1409950828341903364" xr:uid="{00000000-0004-0000-0100-00002B000000}"/>
    <hyperlink ref="E192" r:id="rId45" display="https://twitter.com/efitz_kiwi/status/1409728226319077380" xr:uid="{00000000-0004-0000-0100-00002C000000}"/>
    <hyperlink ref="E194" r:id="rId46" display="https://twitter.com/efitz_kiwi/status/1409729225138098178" xr:uid="{00000000-0004-0000-0100-00002D000000}"/>
  </hyperlinks>
  <pageMargins left="0.7" right="0.7" top="0.75" bottom="0.75" header="0.3" footer="0.3"/>
  <pageSetup orientation="portrait"/>
  <drawing r:id="rId47"/>
  <tableParts count="1">
    <tablePart r:id="rId4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8"/>
  <sheetViews>
    <sheetView workbookViewId="0">
      <selection activeCell="G7" sqref="G7"/>
    </sheetView>
  </sheetViews>
  <sheetFormatPr defaultColWidth="8.85546875" defaultRowHeight="15" x14ac:dyDescent="0.25"/>
  <cols>
    <col min="1" max="1" width="46.5703125" style="342" customWidth="1"/>
    <col min="2" max="2" width="14.42578125" style="342" customWidth="1"/>
    <col min="3" max="3" width="14" style="342" customWidth="1"/>
    <col min="4" max="4" width="8.85546875" style="342" customWidth="1"/>
    <col min="5" max="5" width="26" style="342" customWidth="1"/>
    <col min="6" max="6" width="10.28515625" style="342" customWidth="1"/>
    <col min="7" max="7" width="11.42578125" style="342" customWidth="1"/>
    <col min="8" max="8" width="28.140625" style="342" customWidth="1"/>
    <col min="9" max="9" width="34.28515625" style="342" customWidth="1"/>
    <col min="10" max="11" width="19" style="342" customWidth="1"/>
    <col min="12" max="12" width="29.28515625" style="342" customWidth="1"/>
    <col min="13" max="13" width="20.28515625" style="342" customWidth="1"/>
    <col min="14" max="14" width="14.7109375" style="342" customWidth="1"/>
    <col min="15" max="15" width="10.28515625" style="342" customWidth="1"/>
    <col min="16" max="16" width="8.85546875" style="342" customWidth="1"/>
    <col min="17" max="17" width="17.85546875" style="342" customWidth="1"/>
    <col min="18" max="19" width="8.85546875" style="342" customWidth="1"/>
    <col min="20" max="20" width="9.140625" style="342" customWidth="1"/>
    <col min="21" max="23" width="9.85546875" style="342" customWidth="1"/>
    <col min="24" max="31" width="8.85546875" style="342" customWidth="1"/>
    <col min="32" max="33" width="13" style="342" customWidth="1"/>
    <col min="34" max="34" width="12.140625" style="342" customWidth="1"/>
    <col min="35" max="35" width="13" style="342" customWidth="1"/>
    <col min="36" max="37" width="12.140625" style="342" customWidth="1"/>
    <col min="38" max="38" width="11.140625" style="342" customWidth="1"/>
    <col min="39" max="39" width="18.42578125" style="342" customWidth="1"/>
    <col min="40" max="40" width="17.42578125" style="342" customWidth="1"/>
    <col min="41" max="41" width="18.42578125" style="342" customWidth="1"/>
    <col min="42" max="43" width="17.42578125" style="342" customWidth="1"/>
    <col min="44" max="44" width="16.42578125" style="342" customWidth="1"/>
    <col min="45" max="45" width="17.42578125" style="342" customWidth="1"/>
    <col min="46" max="46" width="18.42578125" style="342" customWidth="1"/>
    <col min="47" max="48" width="17.42578125" style="342" customWidth="1"/>
    <col min="49" max="49" width="16.42578125" style="342" customWidth="1"/>
    <col min="50" max="52" width="17.42578125" style="342" customWidth="1"/>
    <col min="53" max="55" width="16.42578125" style="342" customWidth="1"/>
    <col min="56" max="56" width="15.42578125" style="342" customWidth="1"/>
    <col min="57" max="57" width="16.42578125" style="342" customWidth="1"/>
    <col min="58" max="59" width="15.42578125" style="342" customWidth="1"/>
    <col min="60" max="60" width="8.85546875" style="342" customWidth="1"/>
    <col min="61" max="61" width="14.7109375" style="342" customWidth="1"/>
    <col min="62" max="62" width="13.7109375" style="342" customWidth="1"/>
    <col min="63" max="63" width="9" style="342" customWidth="1"/>
    <col min="64" max="64" width="14.140625" style="342" customWidth="1"/>
    <col min="65" max="65" width="17.28515625" style="342" customWidth="1"/>
    <col min="66" max="66" width="9.140625" style="342" customWidth="1"/>
    <col min="67" max="68" width="14.7109375" style="342" customWidth="1"/>
    <col min="69" max="70" width="18.5703125" style="342" customWidth="1"/>
    <col min="71" max="71" width="19.42578125" style="342" customWidth="1"/>
    <col min="72" max="72" width="19.85546875" style="342" customWidth="1"/>
    <col min="73" max="73" width="19.5703125" style="342" customWidth="1"/>
    <col min="74" max="74" width="19.85546875" style="342" customWidth="1"/>
    <col min="75" max="75" width="19.5703125" style="342" customWidth="1"/>
    <col min="76" max="76" width="13.28515625" style="342" customWidth="1"/>
    <col min="77" max="77" width="13" style="342" customWidth="1"/>
    <col min="78" max="78" width="14.7109375" style="342" customWidth="1"/>
    <col min="79" max="81" width="12.7109375" style="342" customWidth="1"/>
    <col min="82" max="82" width="11.85546875" style="342" customWidth="1"/>
    <col min="83" max="126" width="8.85546875" style="342" customWidth="1"/>
    <col min="127" max="16384" width="8.85546875" style="342"/>
  </cols>
  <sheetData>
    <row r="1" spans="1:97" ht="16.5" customHeight="1" thickTop="1" thickBot="1" x14ac:dyDescent="0.3">
      <c r="A1" s="16"/>
      <c r="B1" s="390" t="s">
        <v>891</v>
      </c>
      <c r="C1" s="391"/>
      <c r="D1" s="355"/>
      <c r="E1" s="355"/>
      <c r="F1" s="355"/>
      <c r="G1" s="356"/>
      <c r="H1" s="17"/>
      <c r="I1" s="376" t="s">
        <v>2</v>
      </c>
      <c r="J1" s="371"/>
      <c r="K1" s="377" t="s">
        <v>3</v>
      </c>
      <c r="L1" s="371"/>
      <c r="M1" s="54"/>
      <c r="N1" s="392" t="s">
        <v>4</v>
      </c>
      <c r="O1" s="371"/>
      <c r="P1" s="381" t="s">
        <v>5</v>
      </c>
      <c r="Q1" s="369"/>
      <c r="R1" s="354" t="s">
        <v>8</v>
      </c>
      <c r="S1" s="355"/>
      <c r="T1" s="355"/>
      <c r="U1" s="356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</row>
    <row r="2" spans="1:97" ht="20.25" customHeight="1" thickBot="1" x14ac:dyDescent="0.3">
      <c r="A2" s="18" t="s">
        <v>892</v>
      </c>
      <c r="B2" s="369"/>
      <c r="C2" s="387"/>
      <c r="D2" s="388"/>
      <c r="E2" s="388"/>
      <c r="F2" s="388"/>
      <c r="G2" s="369"/>
      <c r="H2" s="19"/>
      <c r="I2" s="370">
        <f>COUNTIF(L:L, "&gt;10%")/COUNTA(L:L)</f>
        <v>0</v>
      </c>
      <c r="J2" s="371"/>
      <c r="K2" s="372">
        <f>COUNTIF(L:L, "&gt;50%")/COUNTA(L:L)</f>
        <v>0</v>
      </c>
      <c r="L2" s="371"/>
      <c r="M2" s="54"/>
      <c r="N2" s="389"/>
      <c r="O2" s="371"/>
      <c r="P2" s="395"/>
      <c r="Q2" s="369"/>
      <c r="R2" s="363"/>
      <c r="S2" s="364"/>
      <c r="T2" s="364"/>
      <c r="U2" s="365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</row>
    <row r="3" spans="1:97" ht="16.5" customHeight="1" thickTop="1" thickBot="1" x14ac:dyDescent="0.3">
      <c r="A3" s="7" t="s">
        <v>893</v>
      </c>
      <c r="B3" s="369"/>
      <c r="C3" s="393"/>
      <c r="D3" s="379"/>
      <c r="E3" s="379"/>
      <c r="F3" s="379"/>
      <c r="G3" s="380"/>
      <c r="H3" s="19"/>
      <c r="I3" s="376" t="s">
        <v>13</v>
      </c>
      <c r="J3" s="371"/>
      <c r="K3" s="377" t="s">
        <v>14</v>
      </c>
      <c r="L3" s="371"/>
      <c r="M3" s="54"/>
      <c r="N3" s="392"/>
      <c r="O3" s="371"/>
      <c r="P3" s="381" t="s">
        <v>15</v>
      </c>
      <c r="Q3" s="369"/>
      <c r="R3" s="354" t="s">
        <v>18</v>
      </c>
      <c r="S3" s="355"/>
      <c r="T3" s="355"/>
      <c r="U3" s="356"/>
      <c r="X3" s="342" t="s">
        <v>19</v>
      </c>
      <c r="Y3" s="342" t="s">
        <v>20</v>
      </c>
      <c r="Z3" s="54" t="s">
        <v>21</v>
      </c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K3" s="342" t="s">
        <v>703</v>
      </c>
      <c r="BL3" s="342" t="s">
        <v>23</v>
      </c>
    </row>
    <row r="4" spans="1:97" ht="15.75" customHeight="1" thickBot="1" x14ac:dyDescent="0.3">
      <c r="A4" s="11">
        <v>44378</v>
      </c>
      <c r="B4" s="369"/>
      <c r="C4" s="382"/>
      <c r="D4" s="383"/>
      <c r="E4" s="383"/>
      <c r="F4" s="383"/>
      <c r="G4" s="384"/>
      <c r="H4" s="20"/>
      <c r="I4" s="360">
        <f>COUNTIF(L:L, "&gt;5%")/COUNTA(L:L)</f>
        <v>0</v>
      </c>
      <c r="J4" s="361"/>
      <c r="K4" s="362">
        <f>COUNTIF(L:L, "&gt;100%")/COUNTA(L:L)</f>
        <v>0</v>
      </c>
      <c r="L4" s="361"/>
      <c r="M4" s="21"/>
      <c r="N4" s="385"/>
      <c r="O4" s="361"/>
      <c r="P4" s="394"/>
      <c r="Q4" s="365"/>
      <c r="R4" s="363"/>
      <c r="S4" s="364"/>
      <c r="T4" s="364"/>
      <c r="U4" s="365"/>
      <c r="Z4" s="54"/>
      <c r="AA4" s="54"/>
      <c r="AB4" s="54"/>
      <c r="AC4" s="54"/>
      <c r="AD4" s="54"/>
      <c r="AE4" s="54"/>
    </row>
    <row r="5" spans="1:97" ht="16.5" customHeight="1" thickTop="1" thickBot="1" x14ac:dyDescent="0.3">
      <c r="A5" s="14" t="s">
        <v>894</v>
      </c>
      <c r="B5" s="12" t="s">
        <v>27</v>
      </c>
      <c r="C5" s="12" t="s">
        <v>895</v>
      </c>
      <c r="D5" s="12" t="s">
        <v>29</v>
      </c>
      <c r="E5" s="12" t="s">
        <v>707</v>
      </c>
      <c r="F5" s="13" t="s">
        <v>31</v>
      </c>
      <c r="G5" s="12" t="s">
        <v>708</v>
      </c>
      <c r="H5" s="10" t="s">
        <v>33</v>
      </c>
      <c r="I5" s="10" t="s">
        <v>896</v>
      </c>
      <c r="J5" s="3" t="s">
        <v>897</v>
      </c>
      <c r="K5" s="8" t="s">
        <v>36</v>
      </c>
      <c r="L5" s="8" t="s">
        <v>37</v>
      </c>
      <c r="M5" s="8" t="s">
        <v>38</v>
      </c>
      <c r="N5" s="8" t="s">
        <v>39</v>
      </c>
      <c r="O5" s="8" t="s">
        <v>40</v>
      </c>
      <c r="P5" s="8" t="s">
        <v>41</v>
      </c>
      <c r="Q5" s="8" t="s">
        <v>42</v>
      </c>
      <c r="R5" s="8" t="s">
        <v>43</v>
      </c>
      <c r="S5" s="8" t="s">
        <v>44</v>
      </c>
      <c r="T5" s="8" t="s">
        <v>45</v>
      </c>
      <c r="U5" s="2" t="s">
        <v>709</v>
      </c>
      <c r="V5" s="2" t="s">
        <v>47</v>
      </c>
      <c r="W5" s="2" t="s">
        <v>48</v>
      </c>
      <c r="X5" s="2" t="s">
        <v>49</v>
      </c>
      <c r="Y5" t="s">
        <v>50</v>
      </c>
      <c r="Z5" t="s">
        <v>51</v>
      </c>
      <c r="AA5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2" t="s">
        <v>58</v>
      </c>
      <c r="AH5" s="2" t="s">
        <v>59</v>
      </c>
      <c r="AI5" s="2" t="s">
        <v>60</v>
      </c>
      <c r="AJ5" s="2" t="s">
        <v>61</v>
      </c>
      <c r="AK5" s="2" t="s">
        <v>62</v>
      </c>
      <c r="AL5" s="2" t="s">
        <v>63</v>
      </c>
      <c r="AM5" s="2" t="s">
        <v>64</v>
      </c>
      <c r="AN5" s="2" t="s">
        <v>65</v>
      </c>
      <c r="AO5" s="2" t="s">
        <v>66</v>
      </c>
      <c r="AP5" s="2" t="s">
        <v>67</v>
      </c>
      <c r="AQ5" s="2" t="s">
        <v>68</v>
      </c>
      <c r="AR5" s="2" t="s">
        <v>69</v>
      </c>
      <c r="AS5" s="2" t="s">
        <v>70</v>
      </c>
      <c r="AT5" s="2" t="s">
        <v>71</v>
      </c>
      <c r="AU5" s="2" t="s">
        <v>72</v>
      </c>
      <c r="AV5" s="2" t="s">
        <v>73</v>
      </c>
      <c r="AW5" s="2" t="s">
        <v>74</v>
      </c>
      <c r="AX5" s="2" t="s">
        <v>75</v>
      </c>
      <c r="AY5" s="2" t="s">
        <v>76</v>
      </c>
      <c r="AZ5" s="2" t="s">
        <v>77</v>
      </c>
      <c r="BA5" s="2" t="s">
        <v>78</v>
      </c>
      <c r="BB5" s="2" t="s">
        <v>79</v>
      </c>
      <c r="BC5" s="2" t="s">
        <v>80</v>
      </c>
      <c r="BD5" s="2" t="s">
        <v>81</v>
      </c>
      <c r="BE5" s="2" t="s">
        <v>82</v>
      </c>
      <c r="BF5" s="2" t="s">
        <v>83</v>
      </c>
      <c r="BG5" s="2" t="s">
        <v>84</v>
      </c>
      <c r="BH5" s="2" t="s">
        <v>85</v>
      </c>
      <c r="BI5" s="2" t="s">
        <v>86</v>
      </c>
      <c r="BJ5" s="2" t="s">
        <v>87</v>
      </c>
      <c r="BK5" s="2" t="s">
        <v>88</v>
      </c>
      <c r="BL5" s="2" t="s">
        <v>89</v>
      </c>
      <c r="BM5" s="2" t="s">
        <v>90</v>
      </c>
      <c r="BN5" s="2" t="s">
        <v>91</v>
      </c>
      <c r="BO5" s="2" t="s">
        <v>92</v>
      </c>
      <c r="BP5" s="2" t="s">
        <v>93</v>
      </c>
      <c r="BQ5" s="2" t="s">
        <v>94</v>
      </c>
      <c r="BR5" s="2" t="s">
        <v>710</v>
      </c>
      <c r="BS5" s="2" t="s">
        <v>711</v>
      </c>
      <c r="BT5" s="2" t="s">
        <v>97</v>
      </c>
      <c r="BU5" s="2" t="s">
        <v>98</v>
      </c>
      <c r="BV5" s="2" t="s">
        <v>99</v>
      </c>
      <c r="BW5" s="2" t="s">
        <v>100</v>
      </c>
      <c r="BX5" s="2" t="s">
        <v>101</v>
      </c>
      <c r="BY5" s="2" t="s">
        <v>102</v>
      </c>
      <c r="BZ5" s="2" t="s">
        <v>103</v>
      </c>
      <c r="CA5" s="2" t="s">
        <v>104</v>
      </c>
      <c r="CB5" s="2" t="s">
        <v>105</v>
      </c>
      <c r="CC5" s="2" t="s">
        <v>106</v>
      </c>
      <c r="CD5" s="2" t="s">
        <v>107</v>
      </c>
      <c r="CE5" s="22" t="s">
        <v>108</v>
      </c>
      <c r="CF5" s="22" t="s">
        <v>109</v>
      </c>
      <c r="CG5" s="22" t="s">
        <v>110</v>
      </c>
      <c r="CH5" s="22" t="s">
        <v>111</v>
      </c>
      <c r="CI5" s="22" t="s">
        <v>112</v>
      </c>
      <c r="CJ5" s="22" t="s">
        <v>113</v>
      </c>
      <c r="CK5" s="22" t="s">
        <v>114</v>
      </c>
      <c r="CL5" s="22" t="s">
        <v>115</v>
      </c>
      <c r="CM5" s="22" t="s">
        <v>116</v>
      </c>
      <c r="CN5" s="22" t="s">
        <v>117</v>
      </c>
      <c r="CO5" s="22" t="s">
        <v>118</v>
      </c>
      <c r="CP5" s="22" t="s">
        <v>119</v>
      </c>
      <c r="CQ5" s="22" t="s">
        <v>120</v>
      </c>
      <c r="CR5" s="22"/>
      <c r="CS5" s="22"/>
    </row>
    <row r="6" spans="1:97" ht="16.5" customHeight="1" thickTop="1" thickBot="1" x14ac:dyDescent="0.3">
      <c r="A6" s="325" t="s">
        <v>898</v>
      </c>
      <c r="B6" s="36" t="s">
        <v>128</v>
      </c>
      <c r="C6" s="326"/>
      <c r="D6" s="281" t="s">
        <v>713</v>
      </c>
      <c r="E6" s="282"/>
      <c r="F6" s="283">
        <v>5.9</v>
      </c>
      <c r="G6" s="284">
        <v>44391</v>
      </c>
      <c r="H6" s="285"/>
      <c r="I6" s="285"/>
      <c r="J6" s="319"/>
      <c r="K6" s="286">
        <f>IF(F6&lt;&gt;"", (H6/F6)-100%, "")</f>
        <v>-1</v>
      </c>
      <c r="L6" s="286">
        <f>IF(F6&lt;&gt;"", (I6/F6)-100%, "")</f>
        <v>-1</v>
      </c>
      <c r="M6" s="327"/>
      <c r="N6" s="328"/>
      <c r="O6" s="329"/>
      <c r="P6" s="329"/>
      <c r="Q6" s="329"/>
      <c r="R6" s="328"/>
      <c r="S6" s="330"/>
      <c r="T6" s="328"/>
      <c r="U6" s="22"/>
      <c r="V6" s="22"/>
      <c r="W6" s="22"/>
      <c r="X6" s="22"/>
      <c r="Y6" s="54"/>
      <c r="Z6" s="54"/>
      <c r="AA6" s="54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</row>
    <row r="7" spans="1:97" ht="15.75" customHeight="1" thickBot="1" x14ac:dyDescent="0.3">
      <c r="A7" s="325" t="s">
        <v>899</v>
      </c>
      <c r="B7" s="36" t="s">
        <v>128</v>
      </c>
      <c r="C7" s="326" t="s">
        <v>900</v>
      </c>
      <c r="D7" s="281" t="s">
        <v>134</v>
      </c>
      <c r="E7" s="282"/>
      <c r="F7" s="283">
        <v>6.82</v>
      </c>
      <c r="G7" s="284">
        <v>44383.611111111109</v>
      </c>
      <c r="H7" s="285"/>
      <c r="I7" s="285"/>
      <c r="J7" s="319"/>
      <c r="K7" s="286">
        <f>IF(F7&lt;&gt;"", (H7/F7)-100%, "")</f>
        <v>-1</v>
      </c>
      <c r="L7" s="286">
        <f>IF(F7&lt;&gt;"", (I7/F7)-100%, "")</f>
        <v>-1</v>
      </c>
      <c r="M7" s="327"/>
      <c r="N7" s="328"/>
      <c r="O7" s="329"/>
      <c r="P7" s="329"/>
      <c r="Q7" s="329"/>
      <c r="R7" s="328"/>
      <c r="S7" s="330"/>
      <c r="T7" s="328"/>
      <c r="U7" s="22"/>
      <c r="V7" s="22"/>
      <c r="W7" s="22"/>
      <c r="X7" s="22"/>
      <c r="Y7" s="54"/>
      <c r="Z7" s="54"/>
      <c r="AA7" s="54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</row>
    <row r="8" spans="1:97" ht="15.75" customHeight="1" thickBot="1" x14ac:dyDescent="0.3">
      <c r="A8" s="57" t="s">
        <v>54</v>
      </c>
      <c r="B8" s="36" t="s">
        <v>128</v>
      </c>
      <c r="C8" s="326" t="s">
        <v>901</v>
      </c>
      <c r="D8" s="281" t="s">
        <v>790</v>
      </c>
      <c r="E8" s="282"/>
      <c r="F8" s="283">
        <v>8.33</v>
      </c>
      <c r="G8" s="284">
        <v>44383.479166666657</v>
      </c>
      <c r="H8" s="285"/>
      <c r="I8" s="285"/>
      <c r="J8" s="319"/>
      <c r="K8" s="286">
        <f>IF(F8&lt;&gt;"", (H8/F8)-100%, "")</f>
        <v>-1</v>
      </c>
      <c r="L8" s="286">
        <f>IF(F8&lt;&gt;"", (I8/F8)-100%, "")</f>
        <v>-1</v>
      </c>
      <c r="M8" s="327"/>
      <c r="N8" s="328"/>
      <c r="O8" s="329"/>
      <c r="P8" s="329"/>
      <c r="Q8" s="329"/>
      <c r="R8" s="328"/>
      <c r="S8" s="330"/>
      <c r="T8" s="328"/>
      <c r="U8" s="22"/>
      <c r="V8" s="22"/>
      <c r="W8" s="22"/>
      <c r="X8" s="22"/>
      <c r="Y8" s="54"/>
      <c r="Z8" s="54"/>
      <c r="AA8" s="54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</row>
  </sheetData>
  <mergeCells count="25">
    <mergeCell ref="B1:B4"/>
    <mergeCell ref="C1:G1"/>
    <mergeCell ref="I1:J1"/>
    <mergeCell ref="K1:L1"/>
    <mergeCell ref="N1:O1"/>
    <mergeCell ref="C3:G3"/>
    <mergeCell ref="I3:J3"/>
    <mergeCell ref="K3:L3"/>
    <mergeCell ref="N3:O3"/>
    <mergeCell ref="R1:U1"/>
    <mergeCell ref="C2:G2"/>
    <mergeCell ref="I2:J2"/>
    <mergeCell ref="K2:L2"/>
    <mergeCell ref="N2:O2"/>
    <mergeCell ref="P2:Q2"/>
    <mergeCell ref="R2:U2"/>
    <mergeCell ref="P1:Q1"/>
    <mergeCell ref="P3:Q3"/>
    <mergeCell ref="R3:U3"/>
    <mergeCell ref="C4:G4"/>
    <mergeCell ref="I4:J4"/>
    <mergeCell ref="K4:L4"/>
    <mergeCell ref="N4:O4"/>
    <mergeCell ref="P4:Q4"/>
    <mergeCell ref="R4:U4"/>
  </mergeCells>
  <conditionalFormatting sqref="K6:L8">
    <cfRule type="colorScale" priority="5">
      <colorScale>
        <cfvo type="min"/>
        <cfvo type="num" val="0"/>
        <cfvo type="percentile" val="90"/>
        <color rgb="FFF8696B"/>
        <color theme="0"/>
        <color rgb="FF63BE7B"/>
      </colorScale>
    </cfRule>
  </conditionalFormatting>
  <dataValidations count="4">
    <dataValidation type="list" showInputMessage="1" showErrorMessage="1" sqref="BL3" xr:uid="{00000000-0002-0000-0200-000000000000}">
      <formula1>"yes,no"</formula1>
    </dataValidation>
    <dataValidation type="list" showInputMessage="1" showErrorMessage="1" sqref="A7:A8" xr:uid="{00000000-0002-0000-0200-000001000000}">
      <formula1>"14ma,20ma,50ma,50dma,100ma,150ma,200ma,VWAP,Range Tighten"</formula1>
    </dataValidation>
    <dataValidation type="list" showInputMessage="1" showErrorMessage="1" sqref="Z3" xr:uid="{00000000-0002-0000-0200-000002000000}">
      <formula1>"yes, no"</formula1>
    </dataValidation>
    <dataValidation type="list" showInputMessage="1" showErrorMessage="1" sqref="A6" xr:uid="{00000000-0002-0000-0200-000003000000}">
      <formula1>"14ma,20ma,50ma,50dma,100ma,150ma,200ma,VWAP,Range Tighten,Gamble"</formula1>
    </dataValidation>
  </dataValidations>
  <pageMargins left="0.7" right="0.7" top="0.75" bottom="0.75" header="0.3" footer="0.3"/>
  <pageSetup orientation="portrait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AC619"/>
  <sheetViews>
    <sheetView zoomScaleNormal="100" workbookViewId="0">
      <selection activeCell="V37" sqref="V37"/>
    </sheetView>
  </sheetViews>
  <sheetFormatPr defaultRowHeight="15" x14ac:dyDescent="0.25"/>
  <cols>
    <col min="3" max="3" width="10.85546875" style="43" bestFit="1" customWidth="1"/>
    <col min="4" max="4" width="17.85546875" style="43" customWidth="1"/>
  </cols>
  <sheetData>
    <row r="13" spans="29:29" x14ac:dyDescent="0.25">
      <c r="AC13" t="s">
        <v>24</v>
      </c>
    </row>
    <row r="26" spans="2:3" x14ac:dyDescent="0.25">
      <c r="B26" t="s">
        <v>902</v>
      </c>
      <c r="C26">
        <f>COUNT(Table1[Gain/Loss if sold at top since call(%)])</f>
        <v>312</v>
      </c>
    </row>
    <row r="27" spans="2:3" x14ac:dyDescent="0.25">
      <c r="B27" t="s">
        <v>903</v>
      </c>
      <c r="C27" s="294">
        <f>ROUNDUP(MAX(Table1[Gain/Loss if sold at top since call(%)]),0)</f>
        <v>1536</v>
      </c>
    </row>
    <row r="28" spans="2:3" x14ac:dyDescent="0.25">
      <c r="B28" t="s">
        <v>904</v>
      </c>
      <c r="C28" s="294">
        <f>ROUNDDOWN(MIN(Table1[Gain/Loss if sold at top since call(%)]),0)</f>
        <v>0</v>
      </c>
    </row>
    <row r="29" spans="2:3" x14ac:dyDescent="0.25">
      <c r="B29" t="s">
        <v>905</v>
      </c>
      <c r="C29">
        <v>5000</v>
      </c>
    </row>
    <row r="30" spans="2:3" x14ac:dyDescent="0.25">
      <c r="B30" t="s">
        <v>906</v>
      </c>
      <c r="C30">
        <f>(C27-C28)/C29</f>
        <v>0.30719999999999997</v>
      </c>
    </row>
    <row r="33" spans="2:5" x14ac:dyDescent="0.25">
      <c r="B33">
        <v>1</v>
      </c>
      <c r="C33" s="294">
        <f t="shared" ref="C33:C96" si="0">IF(B33&gt;$C$29,$C$27,C32+$C$30)</f>
        <v>0.30719999999999997</v>
      </c>
      <c r="D33" t="str">
        <f t="shared" ref="D33:D96" si="1">C32+0.0001 &amp;"-"&amp;C33</f>
        <v>0.0001-0.3072</v>
      </c>
      <c r="E33">
        <f t="array" ref="E33:E619">FREQUENCY(Table1[Gain/Loss if sold at top since call(%)], Stockstats!C33:C618)</f>
        <v>112</v>
      </c>
    </row>
    <row r="34" spans="2:5" x14ac:dyDescent="0.25">
      <c r="B34">
        <v>2</v>
      </c>
      <c r="C34" s="294">
        <f t="shared" si="0"/>
        <v>0.61439999999999995</v>
      </c>
      <c r="D34" t="str">
        <f t="shared" si="1"/>
        <v>0.3073-0.6144</v>
      </c>
      <c r="E34">
        <v>54</v>
      </c>
    </row>
    <row r="35" spans="2:5" x14ac:dyDescent="0.25">
      <c r="B35">
        <v>3</v>
      </c>
      <c r="C35" s="294">
        <f t="shared" si="0"/>
        <v>0.92159999999999997</v>
      </c>
      <c r="D35" t="str">
        <f t="shared" si="1"/>
        <v>0.6145-0.9216</v>
      </c>
      <c r="E35">
        <v>30</v>
      </c>
    </row>
    <row r="36" spans="2:5" x14ac:dyDescent="0.25">
      <c r="B36">
        <v>4</v>
      </c>
      <c r="C36" s="294">
        <f t="shared" si="0"/>
        <v>1.2287999999999999</v>
      </c>
      <c r="D36" t="str">
        <f t="shared" si="1"/>
        <v>0.9217-1.2288</v>
      </c>
      <c r="E36">
        <v>17</v>
      </c>
    </row>
    <row r="37" spans="2:5" x14ac:dyDescent="0.25">
      <c r="B37">
        <v>5</v>
      </c>
      <c r="C37" s="294">
        <f t="shared" si="0"/>
        <v>1.5359999999999998</v>
      </c>
      <c r="D37" t="str">
        <f t="shared" si="1"/>
        <v>1.2289-1.536</v>
      </c>
      <c r="E37">
        <v>15</v>
      </c>
    </row>
    <row r="38" spans="2:5" x14ac:dyDescent="0.25">
      <c r="B38">
        <v>6</v>
      </c>
      <c r="C38" s="294">
        <f t="shared" si="0"/>
        <v>1.8431999999999997</v>
      </c>
      <c r="D38" t="str">
        <f t="shared" si="1"/>
        <v>1.5361-1.8432</v>
      </c>
      <c r="E38">
        <v>16</v>
      </c>
    </row>
    <row r="39" spans="2:5" x14ac:dyDescent="0.25">
      <c r="B39">
        <v>7</v>
      </c>
      <c r="C39" s="294">
        <f t="shared" si="0"/>
        <v>2.1503999999999999</v>
      </c>
      <c r="D39" t="str">
        <f t="shared" si="1"/>
        <v>1.8433-2.1504</v>
      </c>
      <c r="E39">
        <v>8</v>
      </c>
    </row>
    <row r="40" spans="2:5" x14ac:dyDescent="0.25">
      <c r="B40">
        <v>8</v>
      </c>
      <c r="C40" s="294">
        <f t="shared" si="0"/>
        <v>2.4575999999999998</v>
      </c>
      <c r="D40" t="str">
        <f t="shared" si="1"/>
        <v>2.1505-2.4576</v>
      </c>
      <c r="E40">
        <v>7</v>
      </c>
    </row>
    <row r="41" spans="2:5" x14ac:dyDescent="0.25">
      <c r="B41">
        <v>9</v>
      </c>
      <c r="C41" s="294">
        <f t="shared" si="0"/>
        <v>2.7647999999999997</v>
      </c>
      <c r="D41" t="str">
        <f t="shared" si="1"/>
        <v>2.4577-2.7648</v>
      </c>
      <c r="E41">
        <v>3</v>
      </c>
    </row>
    <row r="42" spans="2:5" x14ac:dyDescent="0.25">
      <c r="B42">
        <v>10</v>
      </c>
      <c r="C42" s="294">
        <f t="shared" si="0"/>
        <v>3.0719999999999996</v>
      </c>
      <c r="D42" t="str">
        <f t="shared" si="1"/>
        <v>2.7649-3.072</v>
      </c>
      <c r="E42">
        <v>2</v>
      </c>
    </row>
    <row r="43" spans="2:5" x14ac:dyDescent="0.25">
      <c r="B43">
        <v>11</v>
      </c>
      <c r="C43" s="294">
        <f t="shared" si="0"/>
        <v>3.3791999999999995</v>
      </c>
      <c r="D43" t="str">
        <f t="shared" si="1"/>
        <v>3.0721-3.3792</v>
      </c>
      <c r="E43">
        <v>4</v>
      </c>
    </row>
    <row r="44" spans="2:5" x14ac:dyDescent="0.25">
      <c r="B44">
        <v>12</v>
      </c>
      <c r="C44" s="294">
        <f t="shared" si="0"/>
        <v>3.6863999999999995</v>
      </c>
      <c r="D44" t="str">
        <f t="shared" si="1"/>
        <v>3.3793-3.6864</v>
      </c>
      <c r="E44">
        <v>2</v>
      </c>
    </row>
    <row r="45" spans="2:5" x14ac:dyDescent="0.25">
      <c r="B45">
        <v>13</v>
      </c>
      <c r="C45" s="294">
        <f t="shared" si="0"/>
        <v>3.9935999999999994</v>
      </c>
      <c r="D45" t="str">
        <f t="shared" si="1"/>
        <v>3.6865-3.9936</v>
      </c>
      <c r="E45">
        <v>7</v>
      </c>
    </row>
    <row r="46" spans="2:5" x14ac:dyDescent="0.25">
      <c r="B46">
        <v>14</v>
      </c>
      <c r="C46" s="294">
        <f t="shared" si="0"/>
        <v>4.3007999999999997</v>
      </c>
      <c r="D46" t="str">
        <f t="shared" si="1"/>
        <v>3.9937-4.3008</v>
      </c>
      <c r="E46">
        <v>2</v>
      </c>
    </row>
    <row r="47" spans="2:5" x14ac:dyDescent="0.25">
      <c r="B47">
        <v>15</v>
      </c>
      <c r="C47" s="294">
        <f t="shared" si="0"/>
        <v>4.6079999999999997</v>
      </c>
      <c r="D47" t="str">
        <f t="shared" si="1"/>
        <v>4.3009-4.608</v>
      </c>
      <c r="E47">
        <v>3</v>
      </c>
    </row>
    <row r="48" spans="2:5" x14ac:dyDescent="0.25">
      <c r="B48">
        <v>16</v>
      </c>
      <c r="C48" s="294">
        <f t="shared" si="0"/>
        <v>4.9151999999999996</v>
      </c>
      <c r="D48" t="str">
        <f t="shared" si="1"/>
        <v>4.6081-4.9152</v>
      </c>
      <c r="E48">
        <v>2</v>
      </c>
    </row>
    <row r="49" spans="2:5" x14ac:dyDescent="0.25">
      <c r="B49">
        <v>17</v>
      </c>
      <c r="C49" s="294">
        <f t="shared" si="0"/>
        <v>5.2223999999999995</v>
      </c>
      <c r="D49" t="str">
        <f t="shared" si="1"/>
        <v>4.9153-5.2224</v>
      </c>
      <c r="E49">
        <v>1</v>
      </c>
    </row>
    <row r="50" spans="2:5" x14ac:dyDescent="0.25">
      <c r="B50">
        <v>18</v>
      </c>
      <c r="C50" s="294">
        <f t="shared" si="0"/>
        <v>5.5295999999999994</v>
      </c>
      <c r="D50" t="str">
        <f t="shared" si="1"/>
        <v>5.2225-5.5296</v>
      </c>
      <c r="E50">
        <v>1</v>
      </c>
    </row>
    <row r="51" spans="2:5" x14ac:dyDescent="0.25">
      <c r="B51">
        <v>19</v>
      </c>
      <c r="C51" s="294">
        <f t="shared" si="0"/>
        <v>5.8367999999999993</v>
      </c>
      <c r="D51" t="str">
        <f t="shared" si="1"/>
        <v>5.5297-5.8368</v>
      </c>
      <c r="E51">
        <v>2</v>
      </c>
    </row>
    <row r="52" spans="2:5" x14ac:dyDescent="0.25">
      <c r="B52">
        <v>20</v>
      </c>
      <c r="C52" s="294">
        <f t="shared" si="0"/>
        <v>6.1439999999999992</v>
      </c>
      <c r="D52" t="str">
        <f t="shared" si="1"/>
        <v>5.8369-6.144</v>
      </c>
      <c r="E52">
        <v>1</v>
      </c>
    </row>
    <row r="53" spans="2:5" x14ac:dyDescent="0.25">
      <c r="B53">
        <v>21</v>
      </c>
      <c r="C53" s="294">
        <f t="shared" si="0"/>
        <v>6.4511999999999992</v>
      </c>
      <c r="D53" t="str">
        <f t="shared" si="1"/>
        <v>6.1441-6.4512</v>
      </c>
      <c r="E53">
        <v>0</v>
      </c>
    </row>
    <row r="54" spans="2:5" x14ac:dyDescent="0.25">
      <c r="B54">
        <v>22</v>
      </c>
      <c r="C54" s="294">
        <f t="shared" si="0"/>
        <v>6.7583999999999991</v>
      </c>
      <c r="D54" t="str">
        <f t="shared" si="1"/>
        <v>6.4513-6.7584</v>
      </c>
      <c r="E54">
        <v>1</v>
      </c>
    </row>
    <row r="55" spans="2:5" x14ac:dyDescent="0.25">
      <c r="B55">
        <v>23</v>
      </c>
      <c r="C55" s="294">
        <f t="shared" si="0"/>
        <v>7.065599999999999</v>
      </c>
      <c r="D55" t="str">
        <f t="shared" si="1"/>
        <v>6.7585-7.0656</v>
      </c>
      <c r="E55">
        <v>0</v>
      </c>
    </row>
    <row r="56" spans="2:5" x14ac:dyDescent="0.25">
      <c r="B56">
        <v>24</v>
      </c>
      <c r="C56" s="294">
        <f t="shared" si="0"/>
        <v>7.3727999999999989</v>
      </c>
      <c r="D56" t="str">
        <f t="shared" si="1"/>
        <v>7.0657-7.3728</v>
      </c>
      <c r="E56">
        <v>0</v>
      </c>
    </row>
    <row r="57" spans="2:5" x14ac:dyDescent="0.25">
      <c r="B57">
        <v>25</v>
      </c>
      <c r="C57" s="294">
        <f t="shared" si="0"/>
        <v>7.6799999999999988</v>
      </c>
      <c r="D57" t="str">
        <f t="shared" si="1"/>
        <v>7.3729-7.68</v>
      </c>
      <c r="E57">
        <v>0</v>
      </c>
    </row>
    <row r="58" spans="2:5" x14ac:dyDescent="0.25">
      <c r="B58">
        <v>26</v>
      </c>
      <c r="C58" s="294">
        <f t="shared" si="0"/>
        <v>7.9871999999999987</v>
      </c>
      <c r="D58" t="str">
        <f t="shared" si="1"/>
        <v>7.6801-7.9872</v>
      </c>
      <c r="E58">
        <v>1</v>
      </c>
    </row>
    <row r="59" spans="2:5" x14ac:dyDescent="0.25">
      <c r="B59">
        <v>27</v>
      </c>
      <c r="C59" s="294">
        <f t="shared" si="0"/>
        <v>8.2943999999999996</v>
      </c>
      <c r="D59" t="str">
        <f t="shared" si="1"/>
        <v>7.9873-8.2944</v>
      </c>
      <c r="E59">
        <v>1</v>
      </c>
    </row>
    <row r="60" spans="2:5" x14ac:dyDescent="0.25">
      <c r="B60">
        <v>28</v>
      </c>
      <c r="C60" s="294">
        <f t="shared" si="0"/>
        <v>8.6015999999999995</v>
      </c>
      <c r="D60" t="str">
        <f t="shared" si="1"/>
        <v>8.2945-8.6016</v>
      </c>
      <c r="E60">
        <v>1</v>
      </c>
    </row>
    <row r="61" spans="2:5" x14ac:dyDescent="0.25">
      <c r="B61">
        <v>29</v>
      </c>
      <c r="C61" s="294">
        <f t="shared" si="0"/>
        <v>8.9087999999999994</v>
      </c>
      <c r="D61" t="str">
        <f t="shared" si="1"/>
        <v>8.6017-8.9088</v>
      </c>
      <c r="E61">
        <v>1</v>
      </c>
    </row>
    <row r="62" spans="2:5" x14ac:dyDescent="0.25">
      <c r="B62">
        <v>30</v>
      </c>
      <c r="C62" s="294">
        <f t="shared" si="0"/>
        <v>9.2159999999999993</v>
      </c>
      <c r="D62" t="str">
        <f t="shared" si="1"/>
        <v>8.9089-9.216</v>
      </c>
      <c r="E62">
        <v>0</v>
      </c>
    </row>
    <row r="63" spans="2:5" x14ac:dyDescent="0.25">
      <c r="B63">
        <v>31</v>
      </c>
      <c r="C63" s="294">
        <f t="shared" si="0"/>
        <v>9.5231999999999992</v>
      </c>
      <c r="D63" t="str">
        <f t="shared" si="1"/>
        <v>9.2161-9.5232</v>
      </c>
      <c r="E63">
        <v>0</v>
      </c>
    </row>
    <row r="64" spans="2:5" x14ac:dyDescent="0.25">
      <c r="B64">
        <v>32</v>
      </c>
      <c r="C64" s="294">
        <f t="shared" si="0"/>
        <v>9.8303999999999991</v>
      </c>
      <c r="D64" t="str">
        <f t="shared" si="1"/>
        <v>9.5233-9.8304</v>
      </c>
      <c r="E64">
        <v>0</v>
      </c>
    </row>
    <row r="65" spans="2:5" x14ac:dyDescent="0.25">
      <c r="B65">
        <v>33</v>
      </c>
      <c r="C65" s="294">
        <f t="shared" si="0"/>
        <v>10.137599999999999</v>
      </c>
      <c r="D65" t="str">
        <f t="shared" si="1"/>
        <v>9.8305-10.1376</v>
      </c>
      <c r="E65">
        <v>0</v>
      </c>
    </row>
    <row r="66" spans="2:5" x14ac:dyDescent="0.25">
      <c r="B66">
        <v>34</v>
      </c>
      <c r="C66" s="294">
        <f t="shared" si="0"/>
        <v>10.444799999999999</v>
      </c>
      <c r="D66" t="str">
        <f t="shared" si="1"/>
        <v>10.1377-10.4448</v>
      </c>
      <c r="E66">
        <v>1</v>
      </c>
    </row>
    <row r="67" spans="2:5" x14ac:dyDescent="0.25">
      <c r="B67">
        <v>35</v>
      </c>
      <c r="C67" s="294">
        <f t="shared" si="0"/>
        <v>10.751999999999999</v>
      </c>
      <c r="D67" t="str">
        <f t="shared" si="1"/>
        <v>10.4449-10.752</v>
      </c>
      <c r="E67">
        <v>1</v>
      </c>
    </row>
    <row r="68" spans="2:5" x14ac:dyDescent="0.25">
      <c r="B68">
        <v>36</v>
      </c>
      <c r="C68" s="294">
        <f t="shared" si="0"/>
        <v>11.059199999999999</v>
      </c>
      <c r="D68" t="str">
        <f t="shared" si="1"/>
        <v>10.7521-11.0592</v>
      </c>
      <c r="E68">
        <v>0</v>
      </c>
    </row>
    <row r="69" spans="2:5" x14ac:dyDescent="0.25">
      <c r="B69">
        <v>37</v>
      </c>
      <c r="C69" s="294">
        <f t="shared" si="0"/>
        <v>11.366399999999999</v>
      </c>
      <c r="D69" t="str">
        <f t="shared" si="1"/>
        <v>11.0593-11.3664</v>
      </c>
      <c r="E69">
        <v>0</v>
      </c>
    </row>
    <row r="70" spans="2:5" x14ac:dyDescent="0.25">
      <c r="B70">
        <v>38</v>
      </c>
      <c r="C70" s="294">
        <f t="shared" si="0"/>
        <v>11.673599999999999</v>
      </c>
      <c r="D70" t="str">
        <f t="shared" si="1"/>
        <v>11.3665-11.6736</v>
      </c>
      <c r="E70">
        <v>2</v>
      </c>
    </row>
    <row r="71" spans="2:5" x14ac:dyDescent="0.25">
      <c r="B71">
        <v>39</v>
      </c>
      <c r="C71" s="294">
        <f t="shared" si="0"/>
        <v>11.980799999999999</v>
      </c>
      <c r="D71" t="str">
        <f t="shared" si="1"/>
        <v>11.6737-11.9808</v>
      </c>
      <c r="E71">
        <v>1</v>
      </c>
    </row>
    <row r="72" spans="2:5" x14ac:dyDescent="0.25">
      <c r="B72">
        <v>40</v>
      </c>
      <c r="C72" s="294">
        <f t="shared" si="0"/>
        <v>12.287999999999998</v>
      </c>
      <c r="D72" t="str">
        <f t="shared" si="1"/>
        <v>11.9809-12.288</v>
      </c>
      <c r="E72">
        <v>1</v>
      </c>
    </row>
    <row r="73" spans="2:5" x14ac:dyDescent="0.25">
      <c r="B73">
        <v>41</v>
      </c>
      <c r="C73" s="294">
        <f t="shared" si="0"/>
        <v>12.595199999999998</v>
      </c>
      <c r="D73" t="str">
        <f t="shared" si="1"/>
        <v>12.2881-12.5952</v>
      </c>
      <c r="E73">
        <v>0</v>
      </c>
    </row>
    <row r="74" spans="2:5" x14ac:dyDescent="0.25">
      <c r="B74">
        <v>42</v>
      </c>
      <c r="C74" s="294">
        <f t="shared" si="0"/>
        <v>12.902399999999998</v>
      </c>
      <c r="D74" t="str">
        <f t="shared" si="1"/>
        <v>12.5953-12.9024</v>
      </c>
      <c r="E74">
        <v>0</v>
      </c>
    </row>
    <row r="75" spans="2:5" x14ac:dyDescent="0.25">
      <c r="B75">
        <v>43</v>
      </c>
      <c r="C75" s="294">
        <f t="shared" si="0"/>
        <v>13.209599999999998</v>
      </c>
      <c r="D75" t="str">
        <f t="shared" si="1"/>
        <v>12.9025-13.2096</v>
      </c>
      <c r="E75">
        <v>0</v>
      </c>
    </row>
    <row r="76" spans="2:5" x14ac:dyDescent="0.25">
      <c r="B76">
        <v>44</v>
      </c>
      <c r="C76" s="294">
        <f t="shared" si="0"/>
        <v>13.516799999999998</v>
      </c>
      <c r="D76" t="str">
        <f t="shared" si="1"/>
        <v>13.2097-13.5168</v>
      </c>
      <c r="E76">
        <v>0</v>
      </c>
    </row>
    <row r="77" spans="2:5" x14ac:dyDescent="0.25">
      <c r="B77">
        <v>45</v>
      </c>
      <c r="C77" s="294">
        <f t="shared" si="0"/>
        <v>13.823999999999998</v>
      </c>
      <c r="D77" t="str">
        <f t="shared" si="1"/>
        <v>13.5169-13.824</v>
      </c>
      <c r="E77">
        <v>2</v>
      </c>
    </row>
    <row r="78" spans="2:5" x14ac:dyDescent="0.25">
      <c r="B78">
        <v>46</v>
      </c>
      <c r="C78" s="294">
        <f t="shared" si="0"/>
        <v>14.131199999999998</v>
      </c>
      <c r="D78" t="str">
        <f t="shared" si="1"/>
        <v>13.8241-14.1312</v>
      </c>
      <c r="E78">
        <v>0</v>
      </c>
    </row>
    <row r="79" spans="2:5" x14ac:dyDescent="0.25">
      <c r="B79">
        <v>47</v>
      </c>
      <c r="C79" s="294">
        <f t="shared" si="0"/>
        <v>14.438399999999998</v>
      </c>
      <c r="D79" t="str">
        <f t="shared" si="1"/>
        <v>14.1313-14.4384</v>
      </c>
      <c r="E79">
        <v>0</v>
      </c>
    </row>
    <row r="80" spans="2:5" x14ac:dyDescent="0.25">
      <c r="B80">
        <v>48</v>
      </c>
      <c r="C80" s="294">
        <f t="shared" si="0"/>
        <v>14.745599999999998</v>
      </c>
      <c r="D80" t="str">
        <f t="shared" si="1"/>
        <v>14.4385-14.7456</v>
      </c>
      <c r="E80">
        <v>0</v>
      </c>
    </row>
    <row r="81" spans="2:5" x14ac:dyDescent="0.25">
      <c r="B81">
        <v>49</v>
      </c>
      <c r="C81" s="294">
        <f t="shared" si="0"/>
        <v>15.052799999999998</v>
      </c>
      <c r="D81" t="str">
        <f t="shared" si="1"/>
        <v>14.7457-15.0528</v>
      </c>
      <c r="E81">
        <v>0</v>
      </c>
    </row>
    <row r="82" spans="2:5" x14ac:dyDescent="0.25">
      <c r="B82">
        <v>50</v>
      </c>
      <c r="C82" s="294">
        <f t="shared" si="0"/>
        <v>15.359999999999998</v>
      </c>
      <c r="D82" t="str">
        <f t="shared" si="1"/>
        <v>15.0529-15.36</v>
      </c>
      <c r="E82">
        <v>1</v>
      </c>
    </row>
    <row r="83" spans="2:5" x14ac:dyDescent="0.25">
      <c r="B83">
        <v>51</v>
      </c>
      <c r="C83" s="294">
        <f t="shared" si="0"/>
        <v>15.667199999999998</v>
      </c>
      <c r="D83" t="str">
        <f t="shared" si="1"/>
        <v>15.3601-15.6672</v>
      </c>
      <c r="E83">
        <v>0</v>
      </c>
    </row>
    <row r="84" spans="2:5" x14ac:dyDescent="0.25">
      <c r="B84">
        <v>52</v>
      </c>
      <c r="C84" s="294">
        <f t="shared" si="0"/>
        <v>15.974399999999997</v>
      </c>
      <c r="D84" t="str">
        <f t="shared" si="1"/>
        <v>15.6673-15.9744</v>
      </c>
      <c r="E84">
        <v>0</v>
      </c>
    </row>
    <row r="85" spans="2:5" x14ac:dyDescent="0.25">
      <c r="B85">
        <v>53</v>
      </c>
      <c r="C85" s="294">
        <f t="shared" si="0"/>
        <v>16.281599999999997</v>
      </c>
      <c r="D85" t="str">
        <f t="shared" si="1"/>
        <v>15.9745-16.2816</v>
      </c>
      <c r="E85">
        <v>0</v>
      </c>
    </row>
    <row r="86" spans="2:5" x14ac:dyDescent="0.25">
      <c r="B86">
        <v>54</v>
      </c>
      <c r="C86" s="294">
        <f t="shared" si="0"/>
        <v>16.588799999999999</v>
      </c>
      <c r="D86" t="str">
        <f t="shared" si="1"/>
        <v>16.2817-16.5888</v>
      </c>
      <c r="E86">
        <v>0</v>
      </c>
    </row>
    <row r="87" spans="2:5" x14ac:dyDescent="0.25">
      <c r="B87">
        <v>55</v>
      </c>
      <c r="C87" s="294">
        <f t="shared" si="0"/>
        <v>16.896000000000001</v>
      </c>
      <c r="D87" t="str">
        <f t="shared" si="1"/>
        <v>16.5889-16.896</v>
      </c>
      <c r="E87">
        <v>0</v>
      </c>
    </row>
    <row r="88" spans="2:5" x14ac:dyDescent="0.25">
      <c r="B88">
        <v>56</v>
      </c>
      <c r="C88" s="294">
        <f t="shared" si="0"/>
        <v>17.203200000000002</v>
      </c>
      <c r="D88" t="str">
        <f t="shared" si="1"/>
        <v>16.8961-17.2032</v>
      </c>
      <c r="E88">
        <v>0</v>
      </c>
    </row>
    <row r="89" spans="2:5" x14ac:dyDescent="0.25">
      <c r="B89">
        <v>57</v>
      </c>
      <c r="C89" s="294">
        <f t="shared" si="0"/>
        <v>17.510400000000004</v>
      </c>
      <c r="D89" t="str">
        <f t="shared" si="1"/>
        <v>17.2033-17.5104</v>
      </c>
      <c r="E89">
        <v>0</v>
      </c>
    </row>
    <row r="90" spans="2:5" x14ac:dyDescent="0.25">
      <c r="B90">
        <v>58</v>
      </c>
      <c r="C90" s="294">
        <f t="shared" si="0"/>
        <v>17.817600000000006</v>
      </c>
      <c r="D90" t="str">
        <f t="shared" si="1"/>
        <v>17.5105-17.8176</v>
      </c>
      <c r="E90">
        <v>0</v>
      </c>
    </row>
    <row r="91" spans="2:5" x14ac:dyDescent="0.25">
      <c r="B91">
        <v>59</v>
      </c>
      <c r="C91" s="294">
        <f t="shared" si="0"/>
        <v>18.124800000000008</v>
      </c>
      <c r="D91" t="str">
        <f t="shared" si="1"/>
        <v>17.8177-18.1248</v>
      </c>
      <c r="E91">
        <v>0</v>
      </c>
    </row>
    <row r="92" spans="2:5" x14ac:dyDescent="0.25">
      <c r="B92">
        <v>60</v>
      </c>
      <c r="C92" s="294">
        <f t="shared" si="0"/>
        <v>18.432000000000009</v>
      </c>
      <c r="D92" t="str">
        <f t="shared" si="1"/>
        <v>18.1249-18.432</v>
      </c>
      <c r="E92">
        <v>0</v>
      </c>
    </row>
    <row r="93" spans="2:5" x14ac:dyDescent="0.25">
      <c r="B93">
        <v>61</v>
      </c>
      <c r="C93" s="294">
        <f t="shared" si="0"/>
        <v>18.739200000000011</v>
      </c>
      <c r="D93" t="str">
        <f t="shared" si="1"/>
        <v>18.4321-18.7392</v>
      </c>
      <c r="E93">
        <v>0</v>
      </c>
    </row>
    <row r="94" spans="2:5" x14ac:dyDescent="0.25">
      <c r="B94">
        <v>62</v>
      </c>
      <c r="C94" s="294">
        <f t="shared" si="0"/>
        <v>19.046400000000013</v>
      </c>
      <c r="D94" t="str">
        <f t="shared" si="1"/>
        <v>18.7393-19.0464</v>
      </c>
      <c r="E94">
        <v>0</v>
      </c>
    </row>
    <row r="95" spans="2:5" x14ac:dyDescent="0.25">
      <c r="B95">
        <v>63</v>
      </c>
      <c r="C95" s="294">
        <f t="shared" si="0"/>
        <v>19.353600000000014</v>
      </c>
      <c r="D95" t="str">
        <f t="shared" si="1"/>
        <v>19.0465-19.3536</v>
      </c>
      <c r="E95">
        <v>0</v>
      </c>
    </row>
    <row r="96" spans="2:5" x14ac:dyDescent="0.25">
      <c r="B96">
        <v>64</v>
      </c>
      <c r="C96" s="294">
        <f t="shared" si="0"/>
        <v>19.660800000000016</v>
      </c>
      <c r="D96" t="str">
        <f t="shared" si="1"/>
        <v>19.3537-19.6608</v>
      </c>
      <c r="E96">
        <v>0</v>
      </c>
    </row>
    <row r="97" spans="2:5" x14ac:dyDescent="0.25">
      <c r="B97">
        <v>65</v>
      </c>
      <c r="C97" s="294">
        <f t="shared" ref="C97:C160" si="2">IF(B97&gt;$C$29,$C$27,C96+$C$30)</f>
        <v>19.968000000000018</v>
      </c>
      <c r="D97" t="str">
        <f t="shared" ref="D97:D160" si="3">C96+0.0001 &amp;"-"&amp;C97</f>
        <v>19.6609-19.968</v>
      </c>
      <c r="E97">
        <v>0</v>
      </c>
    </row>
    <row r="98" spans="2:5" x14ac:dyDescent="0.25">
      <c r="B98">
        <v>66</v>
      </c>
      <c r="C98" s="294">
        <f t="shared" si="2"/>
        <v>20.275200000000019</v>
      </c>
      <c r="D98" t="str">
        <f t="shared" si="3"/>
        <v>19.9681-20.2752</v>
      </c>
      <c r="E98">
        <v>0</v>
      </c>
    </row>
    <row r="99" spans="2:5" x14ac:dyDescent="0.25">
      <c r="B99">
        <v>67</v>
      </c>
      <c r="C99" s="294">
        <f t="shared" si="2"/>
        <v>20.582400000000021</v>
      </c>
      <c r="D99" t="str">
        <f t="shared" si="3"/>
        <v>20.2753-20.5824</v>
      </c>
      <c r="E99">
        <v>0</v>
      </c>
    </row>
    <row r="100" spans="2:5" x14ac:dyDescent="0.25">
      <c r="B100">
        <v>68</v>
      </c>
      <c r="C100" s="294">
        <f t="shared" si="2"/>
        <v>20.889600000000023</v>
      </c>
      <c r="D100" t="str">
        <f t="shared" si="3"/>
        <v>20.5825-20.8896</v>
      </c>
      <c r="E100">
        <v>0</v>
      </c>
    </row>
    <row r="101" spans="2:5" x14ac:dyDescent="0.25">
      <c r="B101">
        <v>69</v>
      </c>
      <c r="C101" s="294">
        <f t="shared" si="2"/>
        <v>21.196800000000025</v>
      </c>
      <c r="D101" t="str">
        <f t="shared" si="3"/>
        <v>20.8897-21.1968</v>
      </c>
      <c r="E101">
        <v>0</v>
      </c>
    </row>
    <row r="102" spans="2:5" x14ac:dyDescent="0.25">
      <c r="B102">
        <v>70</v>
      </c>
      <c r="C102" s="294">
        <f t="shared" si="2"/>
        <v>21.504000000000026</v>
      </c>
      <c r="D102" t="str">
        <f t="shared" si="3"/>
        <v>21.1969-21.504</v>
      </c>
      <c r="E102">
        <v>0</v>
      </c>
    </row>
    <row r="103" spans="2:5" x14ac:dyDescent="0.25">
      <c r="B103">
        <v>71</v>
      </c>
      <c r="C103" s="294">
        <f t="shared" si="2"/>
        <v>21.811200000000028</v>
      </c>
      <c r="D103" t="str">
        <f t="shared" si="3"/>
        <v>21.5041-21.8112</v>
      </c>
      <c r="E103">
        <v>0</v>
      </c>
    </row>
    <row r="104" spans="2:5" x14ac:dyDescent="0.25">
      <c r="B104">
        <v>72</v>
      </c>
      <c r="C104" s="294">
        <f t="shared" si="2"/>
        <v>22.11840000000003</v>
      </c>
      <c r="D104" t="str">
        <f t="shared" si="3"/>
        <v>21.8113-22.1184</v>
      </c>
      <c r="E104">
        <v>0</v>
      </c>
    </row>
    <row r="105" spans="2:5" x14ac:dyDescent="0.25">
      <c r="B105">
        <v>73</v>
      </c>
      <c r="C105" s="294">
        <f t="shared" si="2"/>
        <v>22.425600000000031</v>
      </c>
      <c r="D105" t="str">
        <f t="shared" si="3"/>
        <v>22.1185-22.4256</v>
      </c>
      <c r="E105">
        <v>0</v>
      </c>
    </row>
    <row r="106" spans="2:5" x14ac:dyDescent="0.25">
      <c r="B106">
        <v>74</v>
      </c>
      <c r="C106" s="294">
        <f t="shared" si="2"/>
        <v>22.732800000000033</v>
      </c>
      <c r="D106" t="str">
        <f t="shared" si="3"/>
        <v>22.4257-22.7328</v>
      </c>
      <c r="E106">
        <v>0</v>
      </c>
    </row>
    <row r="107" spans="2:5" x14ac:dyDescent="0.25">
      <c r="B107">
        <v>75</v>
      </c>
      <c r="C107" s="294">
        <f t="shared" si="2"/>
        <v>23.040000000000035</v>
      </c>
      <c r="D107" t="str">
        <f t="shared" si="3"/>
        <v>22.7329-23.04</v>
      </c>
      <c r="E107">
        <v>0</v>
      </c>
    </row>
    <row r="108" spans="2:5" x14ac:dyDescent="0.25">
      <c r="B108">
        <v>76</v>
      </c>
      <c r="C108" s="294">
        <f t="shared" si="2"/>
        <v>23.347200000000036</v>
      </c>
      <c r="D108" t="str">
        <f t="shared" si="3"/>
        <v>23.0401-23.3472</v>
      </c>
      <c r="E108">
        <v>0</v>
      </c>
    </row>
    <row r="109" spans="2:5" x14ac:dyDescent="0.25">
      <c r="B109">
        <v>77</v>
      </c>
      <c r="C109" s="294">
        <f t="shared" si="2"/>
        <v>23.654400000000038</v>
      </c>
      <c r="D109" t="str">
        <f t="shared" si="3"/>
        <v>23.3473-23.6544</v>
      </c>
      <c r="E109">
        <v>1</v>
      </c>
    </row>
    <row r="110" spans="2:5" x14ac:dyDescent="0.25">
      <c r="B110">
        <v>78</v>
      </c>
      <c r="C110" s="294">
        <f t="shared" si="2"/>
        <v>23.96160000000004</v>
      </c>
      <c r="D110" t="str">
        <f t="shared" si="3"/>
        <v>23.6545-23.9616</v>
      </c>
      <c r="E110">
        <v>0</v>
      </c>
    </row>
    <row r="111" spans="2:5" x14ac:dyDescent="0.25">
      <c r="B111">
        <v>79</v>
      </c>
      <c r="C111" s="294">
        <f t="shared" si="2"/>
        <v>24.268800000000041</v>
      </c>
      <c r="D111" t="str">
        <f t="shared" si="3"/>
        <v>23.9617-24.2688</v>
      </c>
      <c r="E111">
        <v>0</v>
      </c>
    </row>
    <row r="112" spans="2:5" x14ac:dyDescent="0.25">
      <c r="B112">
        <v>80</v>
      </c>
      <c r="C112" s="294">
        <f t="shared" si="2"/>
        <v>24.576000000000043</v>
      </c>
      <c r="D112" t="str">
        <f t="shared" si="3"/>
        <v>24.2689-24.576</v>
      </c>
      <c r="E112">
        <v>0</v>
      </c>
    </row>
    <row r="113" spans="2:5" x14ac:dyDescent="0.25">
      <c r="B113">
        <v>81</v>
      </c>
      <c r="C113" s="294">
        <f t="shared" si="2"/>
        <v>24.883200000000045</v>
      </c>
      <c r="D113" t="str">
        <f t="shared" si="3"/>
        <v>24.5761-24.8832</v>
      </c>
      <c r="E113">
        <v>0</v>
      </c>
    </row>
    <row r="114" spans="2:5" x14ac:dyDescent="0.25">
      <c r="B114">
        <v>82</v>
      </c>
      <c r="C114" s="294">
        <f t="shared" si="2"/>
        <v>25.190400000000047</v>
      </c>
      <c r="D114" t="str">
        <f t="shared" si="3"/>
        <v>24.8833-25.1904</v>
      </c>
      <c r="E114">
        <v>0</v>
      </c>
    </row>
    <row r="115" spans="2:5" x14ac:dyDescent="0.25">
      <c r="B115">
        <v>83</v>
      </c>
      <c r="C115" s="294">
        <f t="shared" si="2"/>
        <v>25.497600000000048</v>
      </c>
      <c r="D115" t="str">
        <f t="shared" si="3"/>
        <v>25.1905-25.4976</v>
      </c>
      <c r="E115">
        <v>0</v>
      </c>
    </row>
    <row r="116" spans="2:5" x14ac:dyDescent="0.25">
      <c r="B116">
        <v>84</v>
      </c>
      <c r="C116" s="294">
        <f t="shared" si="2"/>
        <v>25.80480000000005</v>
      </c>
      <c r="D116" t="str">
        <f t="shared" si="3"/>
        <v>25.4977-25.8048</v>
      </c>
      <c r="E116">
        <v>0</v>
      </c>
    </row>
    <row r="117" spans="2:5" x14ac:dyDescent="0.25">
      <c r="B117">
        <v>85</v>
      </c>
      <c r="C117" s="294">
        <f t="shared" si="2"/>
        <v>26.112000000000052</v>
      </c>
      <c r="D117" t="str">
        <f t="shared" si="3"/>
        <v>25.8049-26.1120000000001</v>
      </c>
      <c r="E117">
        <v>1</v>
      </c>
    </row>
    <row r="118" spans="2:5" x14ac:dyDescent="0.25">
      <c r="B118">
        <v>86</v>
      </c>
      <c r="C118" s="294">
        <f t="shared" si="2"/>
        <v>26.419200000000053</v>
      </c>
      <c r="D118" t="str">
        <f t="shared" si="3"/>
        <v>26.1121000000001-26.4192000000001</v>
      </c>
      <c r="E118">
        <v>0</v>
      </c>
    </row>
    <row r="119" spans="2:5" x14ac:dyDescent="0.25">
      <c r="B119">
        <v>87</v>
      </c>
      <c r="C119" s="294">
        <f t="shared" si="2"/>
        <v>26.726400000000055</v>
      </c>
      <c r="D119" t="str">
        <f t="shared" si="3"/>
        <v>26.4193000000001-26.7264000000001</v>
      </c>
      <c r="E119">
        <v>0</v>
      </c>
    </row>
    <row r="120" spans="2:5" x14ac:dyDescent="0.25">
      <c r="B120">
        <v>88</v>
      </c>
      <c r="C120" s="294">
        <f t="shared" si="2"/>
        <v>27.033600000000057</v>
      </c>
      <c r="D120" t="str">
        <f t="shared" si="3"/>
        <v>26.7265000000001-27.0336000000001</v>
      </c>
      <c r="E120">
        <v>1</v>
      </c>
    </row>
    <row r="121" spans="2:5" x14ac:dyDescent="0.25">
      <c r="B121">
        <v>89</v>
      </c>
      <c r="C121" s="294">
        <f t="shared" si="2"/>
        <v>27.340800000000058</v>
      </c>
      <c r="D121" t="str">
        <f t="shared" si="3"/>
        <v>27.0337000000001-27.3408000000001</v>
      </c>
      <c r="E121">
        <v>0</v>
      </c>
    </row>
    <row r="122" spans="2:5" x14ac:dyDescent="0.25">
      <c r="B122">
        <v>90</v>
      </c>
      <c r="C122" s="294">
        <f t="shared" si="2"/>
        <v>27.64800000000006</v>
      </c>
      <c r="D122" t="str">
        <f t="shared" si="3"/>
        <v>27.3409000000001-27.6480000000001</v>
      </c>
      <c r="E122">
        <v>0</v>
      </c>
    </row>
    <row r="123" spans="2:5" x14ac:dyDescent="0.25">
      <c r="B123">
        <v>91</v>
      </c>
      <c r="C123" s="294">
        <f t="shared" si="2"/>
        <v>27.955200000000062</v>
      </c>
      <c r="D123" t="str">
        <f t="shared" si="3"/>
        <v>27.6481000000001-27.9552000000001</v>
      </c>
      <c r="E123">
        <v>0</v>
      </c>
    </row>
    <row r="124" spans="2:5" x14ac:dyDescent="0.25">
      <c r="B124">
        <v>92</v>
      </c>
      <c r="C124" s="294">
        <f t="shared" si="2"/>
        <v>28.262400000000063</v>
      </c>
      <c r="D124" t="str">
        <f t="shared" si="3"/>
        <v>27.9553000000001-28.2624000000001</v>
      </c>
      <c r="E124">
        <v>0</v>
      </c>
    </row>
    <row r="125" spans="2:5" x14ac:dyDescent="0.25">
      <c r="B125">
        <v>93</v>
      </c>
      <c r="C125" s="294">
        <f t="shared" si="2"/>
        <v>28.569600000000065</v>
      </c>
      <c r="D125" t="str">
        <f t="shared" si="3"/>
        <v>28.2625000000001-28.5696000000001</v>
      </c>
      <c r="E125">
        <v>0</v>
      </c>
    </row>
    <row r="126" spans="2:5" x14ac:dyDescent="0.25">
      <c r="B126">
        <v>94</v>
      </c>
      <c r="C126" s="294">
        <f t="shared" si="2"/>
        <v>28.876800000000067</v>
      </c>
      <c r="D126" t="str">
        <f t="shared" si="3"/>
        <v>28.5697000000001-28.8768000000001</v>
      </c>
      <c r="E126">
        <v>0</v>
      </c>
    </row>
    <row r="127" spans="2:5" x14ac:dyDescent="0.25">
      <c r="B127">
        <v>95</v>
      </c>
      <c r="C127" s="294">
        <f t="shared" si="2"/>
        <v>29.184000000000069</v>
      </c>
      <c r="D127" t="str">
        <f t="shared" si="3"/>
        <v>28.8769000000001-29.1840000000001</v>
      </c>
      <c r="E127">
        <v>0</v>
      </c>
    </row>
    <row r="128" spans="2:5" x14ac:dyDescent="0.25">
      <c r="B128">
        <v>96</v>
      </c>
      <c r="C128" s="294">
        <f t="shared" si="2"/>
        <v>29.49120000000007</v>
      </c>
      <c r="D128" t="str">
        <f t="shared" si="3"/>
        <v>29.1841000000001-29.4912000000001</v>
      </c>
      <c r="E128">
        <v>0</v>
      </c>
    </row>
    <row r="129" spans="2:5" x14ac:dyDescent="0.25">
      <c r="B129">
        <v>97</v>
      </c>
      <c r="C129" s="294">
        <f t="shared" si="2"/>
        <v>29.798400000000072</v>
      </c>
      <c r="D129" t="str">
        <f t="shared" si="3"/>
        <v>29.4913000000001-29.7984000000001</v>
      </c>
      <c r="E129">
        <v>0</v>
      </c>
    </row>
    <row r="130" spans="2:5" x14ac:dyDescent="0.25">
      <c r="B130">
        <v>98</v>
      </c>
      <c r="C130" s="294">
        <f t="shared" si="2"/>
        <v>30.105600000000074</v>
      </c>
      <c r="D130" t="str">
        <f t="shared" si="3"/>
        <v>29.7985000000001-30.1056000000001</v>
      </c>
      <c r="E130">
        <v>0</v>
      </c>
    </row>
    <row r="131" spans="2:5" x14ac:dyDescent="0.25">
      <c r="B131">
        <v>99</v>
      </c>
      <c r="C131" s="294">
        <f t="shared" si="2"/>
        <v>30.412800000000075</v>
      </c>
      <c r="D131" t="str">
        <f t="shared" si="3"/>
        <v>30.1057000000001-30.4128000000001</v>
      </c>
      <c r="E131">
        <v>0</v>
      </c>
    </row>
    <row r="132" spans="2:5" x14ac:dyDescent="0.25">
      <c r="B132">
        <v>100</v>
      </c>
      <c r="C132" s="294">
        <f t="shared" si="2"/>
        <v>30.720000000000077</v>
      </c>
      <c r="D132" t="str">
        <f t="shared" si="3"/>
        <v>30.4129000000001-30.7200000000001</v>
      </c>
      <c r="E132">
        <v>0</v>
      </c>
    </row>
    <row r="133" spans="2:5" x14ac:dyDescent="0.25">
      <c r="B133">
        <v>101</v>
      </c>
      <c r="C133" s="294">
        <f t="shared" si="2"/>
        <v>31.027200000000079</v>
      </c>
      <c r="D133" t="str">
        <f t="shared" si="3"/>
        <v>30.7201000000001-31.0272000000001</v>
      </c>
      <c r="E133">
        <v>0</v>
      </c>
    </row>
    <row r="134" spans="2:5" x14ac:dyDescent="0.25">
      <c r="B134">
        <v>102</v>
      </c>
      <c r="C134" s="294">
        <f t="shared" si="2"/>
        <v>31.33440000000008</v>
      </c>
      <c r="D134" t="str">
        <f t="shared" si="3"/>
        <v>31.0273000000001-31.3344000000001</v>
      </c>
      <c r="E134">
        <v>0</v>
      </c>
    </row>
    <row r="135" spans="2:5" x14ac:dyDescent="0.25">
      <c r="B135">
        <v>103</v>
      </c>
      <c r="C135" s="294">
        <f t="shared" si="2"/>
        <v>31.641600000000082</v>
      </c>
      <c r="D135" t="str">
        <f t="shared" si="3"/>
        <v>31.3345000000001-31.6416000000001</v>
      </c>
      <c r="E135">
        <v>0</v>
      </c>
    </row>
    <row r="136" spans="2:5" x14ac:dyDescent="0.25">
      <c r="B136">
        <v>104</v>
      </c>
      <c r="C136" s="294">
        <f t="shared" si="2"/>
        <v>31.948800000000084</v>
      </c>
      <c r="D136" t="str">
        <f t="shared" si="3"/>
        <v>31.6417000000001-31.9488000000001</v>
      </c>
      <c r="E136">
        <v>0</v>
      </c>
    </row>
    <row r="137" spans="2:5" x14ac:dyDescent="0.25">
      <c r="B137">
        <v>105</v>
      </c>
      <c r="C137" s="294">
        <f t="shared" si="2"/>
        <v>32.256000000000085</v>
      </c>
      <c r="D137" t="str">
        <f t="shared" si="3"/>
        <v>31.9489000000001-32.2560000000001</v>
      </c>
      <c r="E137">
        <v>0</v>
      </c>
    </row>
    <row r="138" spans="2:5" x14ac:dyDescent="0.25">
      <c r="B138">
        <v>106</v>
      </c>
      <c r="C138" s="294">
        <f t="shared" si="2"/>
        <v>32.563200000000087</v>
      </c>
      <c r="D138" t="str">
        <f t="shared" si="3"/>
        <v>32.2561000000001-32.5632000000001</v>
      </c>
      <c r="E138">
        <v>0</v>
      </c>
    </row>
    <row r="139" spans="2:5" x14ac:dyDescent="0.25">
      <c r="B139">
        <v>107</v>
      </c>
      <c r="C139" s="294">
        <f t="shared" si="2"/>
        <v>32.870400000000089</v>
      </c>
      <c r="D139" t="str">
        <f t="shared" si="3"/>
        <v>32.5633000000001-32.8704000000001</v>
      </c>
      <c r="E139">
        <v>0</v>
      </c>
    </row>
    <row r="140" spans="2:5" x14ac:dyDescent="0.25">
      <c r="B140">
        <v>108</v>
      </c>
      <c r="C140" s="294">
        <f t="shared" si="2"/>
        <v>33.177600000000091</v>
      </c>
      <c r="D140" t="str">
        <f t="shared" si="3"/>
        <v>32.8705000000001-33.1776000000001</v>
      </c>
      <c r="E140">
        <v>0</v>
      </c>
    </row>
    <row r="141" spans="2:5" x14ac:dyDescent="0.25">
      <c r="B141">
        <v>109</v>
      </c>
      <c r="C141" s="294">
        <f t="shared" si="2"/>
        <v>33.484800000000092</v>
      </c>
      <c r="D141" t="str">
        <f t="shared" si="3"/>
        <v>33.1777000000001-33.4848000000001</v>
      </c>
      <c r="E141">
        <v>0</v>
      </c>
    </row>
    <row r="142" spans="2:5" x14ac:dyDescent="0.25">
      <c r="B142">
        <v>110</v>
      </c>
      <c r="C142" s="294">
        <f t="shared" si="2"/>
        <v>33.792000000000094</v>
      </c>
      <c r="D142" t="str">
        <f t="shared" si="3"/>
        <v>33.4849000000001-33.7920000000001</v>
      </c>
      <c r="E142">
        <v>0</v>
      </c>
    </row>
    <row r="143" spans="2:5" x14ac:dyDescent="0.25">
      <c r="B143">
        <v>111</v>
      </c>
      <c r="C143" s="294">
        <f t="shared" si="2"/>
        <v>34.099200000000096</v>
      </c>
      <c r="D143" t="str">
        <f t="shared" si="3"/>
        <v>33.7921000000001-34.0992000000001</v>
      </c>
      <c r="E143">
        <v>0</v>
      </c>
    </row>
    <row r="144" spans="2:5" x14ac:dyDescent="0.25">
      <c r="B144">
        <v>112</v>
      </c>
      <c r="C144" s="294">
        <f t="shared" si="2"/>
        <v>34.406400000000097</v>
      </c>
      <c r="D144" t="str">
        <f t="shared" si="3"/>
        <v>34.0993000000001-34.4064000000001</v>
      </c>
      <c r="E144">
        <v>0</v>
      </c>
    </row>
    <row r="145" spans="2:5" x14ac:dyDescent="0.25">
      <c r="B145">
        <v>113</v>
      </c>
      <c r="C145" s="294">
        <f t="shared" si="2"/>
        <v>34.713600000000099</v>
      </c>
      <c r="D145" t="str">
        <f t="shared" si="3"/>
        <v>34.4065000000001-34.7136000000001</v>
      </c>
      <c r="E145">
        <v>0</v>
      </c>
    </row>
    <row r="146" spans="2:5" x14ac:dyDescent="0.25">
      <c r="B146">
        <v>114</v>
      </c>
      <c r="C146" s="294">
        <f t="shared" si="2"/>
        <v>35.020800000000101</v>
      </c>
      <c r="D146" t="str">
        <f t="shared" si="3"/>
        <v>34.7137000000001-35.0208000000001</v>
      </c>
      <c r="E146">
        <v>0</v>
      </c>
    </row>
    <row r="147" spans="2:5" x14ac:dyDescent="0.25">
      <c r="B147">
        <v>115</v>
      </c>
      <c r="C147" s="294">
        <f t="shared" si="2"/>
        <v>35.328000000000102</v>
      </c>
      <c r="D147" t="str">
        <f t="shared" si="3"/>
        <v>35.0209000000001-35.3280000000001</v>
      </c>
      <c r="E147">
        <v>0</v>
      </c>
    </row>
    <row r="148" spans="2:5" x14ac:dyDescent="0.25">
      <c r="B148">
        <v>116</v>
      </c>
      <c r="C148" s="294">
        <f t="shared" si="2"/>
        <v>35.635200000000104</v>
      </c>
      <c r="D148" t="str">
        <f t="shared" si="3"/>
        <v>35.3281000000001-35.6352000000001</v>
      </c>
      <c r="E148">
        <v>0</v>
      </c>
    </row>
    <row r="149" spans="2:5" x14ac:dyDescent="0.25">
      <c r="B149">
        <v>117</v>
      </c>
      <c r="C149" s="294">
        <f t="shared" si="2"/>
        <v>35.942400000000106</v>
      </c>
      <c r="D149" t="str">
        <f t="shared" si="3"/>
        <v>35.6353000000001-35.9424000000001</v>
      </c>
      <c r="E149">
        <v>0</v>
      </c>
    </row>
    <row r="150" spans="2:5" x14ac:dyDescent="0.25">
      <c r="B150">
        <v>118</v>
      </c>
      <c r="C150" s="294">
        <f t="shared" si="2"/>
        <v>36.249600000000108</v>
      </c>
      <c r="D150" t="str">
        <f t="shared" si="3"/>
        <v>35.9425000000001-36.2496000000001</v>
      </c>
      <c r="E150">
        <v>0</v>
      </c>
    </row>
    <row r="151" spans="2:5" x14ac:dyDescent="0.25">
      <c r="B151">
        <v>119</v>
      </c>
      <c r="C151" s="294">
        <f t="shared" si="2"/>
        <v>36.556800000000109</v>
      </c>
      <c r="D151" t="str">
        <f t="shared" si="3"/>
        <v>36.2497000000001-36.5568000000001</v>
      </c>
      <c r="E151">
        <v>0</v>
      </c>
    </row>
    <row r="152" spans="2:5" x14ac:dyDescent="0.25">
      <c r="B152">
        <v>120</v>
      </c>
      <c r="C152" s="294">
        <f t="shared" si="2"/>
        <v>36.864000000000111</v>
      </c>
      <c r="D152" t="str">
        <f t="shared" si="3"/>
        <v>36.5569000000001-36.8640000000001</v>
      </c>
      <c r="E152">
        <v>0</v>
      </c>
    </row>
    <row r="153" spans="2:5" x14ac:dyDescent="0.25">
      <c r="B153">
        <v>121</v>
      </c>
      <c r="C153" s="294">
        <f t="shared" si="2"/>
        <v>37.171200000000113</v>
      </c>
      <c r="D153" t="str">
        <f t="shared" si="3"/>
        <v>36.8641000000001-37.1712000000001</v>
      </c>
      <c r="E153">
        <v>0</v>
      </c>
    </row>
    <row r="154" spans="2:5" x14ac:dyDescent="0.25">
      <c r="B154">
        <v>122</v>
      </c>
      <c r="C154" s="294">
        <f t="shared" si="2"/>
        <v>37.478400000000114</v>
      </c>
      <c r="D154" t="str">
        <f t="shared" si="3"/>
        <v>37.1713000000001-37.4784000000001</v>
      </c>
      <c r="E154">
        <v>0</v>
      </c>
    </row>
    <row r="155" spans="2:5" x14ac:dyDescent="0.25">
      <c r="B155">
        <v>123</v>
      </c>
      <c r="C155" s="294">
        <f t="shared" si="2"/>
        <v>37.785600000000116</v>
      </c>
      <c r="D155" t="str">
        <f t="shared" si="3"/>
        <v>37.4785000000001-37.7856000000001</v>
      </c>
      <c r="E155">
        <v>0</v>
      </c>
    </row>
    <row r="156" spans="2:5" x14ac:dyDescent="0.25">
      <c r="B156">
        <v>124</v>
      </c>
      <c r="C156" s="294">
        <f t="shared" si="2"/>
        <v>38.092800000000118</v>
      </c>
      <c r="D156" t="str">
        <f t="shared" si="3"/>
        <v>37.7857000000001-38.0928000000001</v>
      </c>
      <c r="E156">
        <v>0</v>
      </c>
    </row>
    <row r="157" spans="2:5" x14ac:dyDescent="0.25">
      <c r="B157">
        <v>125</v>
      </c>
      <c r="C157" s="294">
        <f t="shared" si="2"/>
        <v>38.400000000000119</v>
      </c>
      <c r="D157" t="str">
        <f t="shared" si="3"/>
        <v>38.0929000000001-38.4000000000001</v>
      </c>
      <c r="E157">
        <v>0</v>
      </c>
    </row>
    <row r="158" spans="2:5" x14ac:dyDescent="0.25">
      <c r="B158">
        <v>126</v>
      </c>
      <c r="C158" s="294">
        <f t="shared" si="2"/>
        <v>38.707200000000121</v>
      </c>
      <c r="D158" t="str">
        <f t="shared" si="3"/>
        <v>38.4001000000001-38.7072000000001</v>
      </c>
      <c r="E158">
        <v>0</v>
      </c>
    </row>
    <row r="159" spans="2:5" x14ac:dyDescent="0.25">
      <c r="B159">
        <v>127</v>
      </c>
      <c r="C159" s="294">
        <f t="shared" si="2"/>
        <v>39.014400000000123</v>
      </c>
      <c r="D159" t="str">
        <f t="shared" si="3"/>
        <v>38.7073000000001-39.0144000000001</v>
      </c>
      <c r="E159">
        <v>0</v>
      </c>
    </row>
    <row r="160" spans="2:5" x14ac:dyDescent="0.25">
      <c r="B160">
        <v>128</v>
      </c>
      <c r="C160" s="294">
        <f t="shared" si="2"/>
        <v>39.321600000000124</v>
      </c>
      <c r="D160" t="str">
        <f t="shared" si="3"/>
        <v>39.0145000000001-39.3216000000001</v>
      </c>
      <c r="E160">
        <v>0</v>
      </c>
    </row>
    <row r="161" spans="2:5" x14ac:dyDescent="0.25">
      <c r="B161">
        <v>129</v>
      </c>
      <c r="C161" s="294">
        <f t="shared" ref="C161:C224" si="4">IF(B161&gt;$C$29,$C$27,C160+$C$30)</f>
        <v>39.628800000000126</v>
      </c>
      <c r="D161" t="str">
        <f t="shared" ref="D161:D224" si="5">C160+0.0001 &amp;"-"&amp;C161</f>
        <v>39.3217000000001-39.6288000000001</v>
      </c>
      <c r="E161">
        <v>1</v>
      </c>
    </row>
    <row r="162" spans="2:5" x14ac:dyDescent="0.25">
      <c r="B162">
        <v>130</v>
      </c>
      <c r="C162" s="294">
        <f t="shared" si="4"/>
        <v>39.936000000000128</v>
      </c>
      <c r="D162" t="str">
        <f t="shared" si="5"/>
        <v>39.6289000000001-39.9360000000001</v>
      </c>
      <c r="E162">
        <v>0</v>
      </c>
    </row>
    <row r="163" spans="2:5" x14ac:dyDescent="0.25">
      <c r="B163">
        <v>131</v>
      </c>
      <c r="C163" s="294">
        <f t="shared" si="4"/>
        <v>40.24320000000013</v>
      </c>
      <c r="D163" t="str">
        <f t="shared" si="5"/>
        <v>39.9361000000001-40.2432000000001</v>
      </c>
      <c r="E163">
        <v>0</v>
      </c>
    </row>
    <row r="164" spans="2:5" x14ac:dyDescent="0.25">
      <c r="B164">
        <v>132</v>
      </c>
      <c r="C164" s="294">
        <f t="shared" si="4"/>
        <v>40.550400000000131</v>
      </c>
      <c r="D164" t="str">
        <f t="shared" si="5"/>
        <v>40.2433000000001-40.5504000000001</v>
      </c>
      <c r="E164">
        <v>0</v>
      </c>
    </row>
    <row r="165" spans="2:5" x14ac:dyDescent="0.25">
      <c r="B165">
        <v>133</v>
      </c>
      <c r="C165" s="294">
        <f t="shared" si="4"/>
        <v>40.857600000000133</v>
      </c>
      <c r="D165" t="str">
        <f t="shared" si="5"/>
        <v>40.5505000000001-40.8576000000001</v>
      </c>
      <c r="E165">
        <v>0</v>
      </c>
    </row>
    <row r="166" spans="2:5" x14ac:dyDescent="0.25">
      <c r="B166">
        <v>134</v>
      </c>
      <c r="C166" s="294">
        <f t="shared" si="4"/>
        <v>41.164800000000135</v>
      </c>
      <c r="D166" t="str">
        <f t="shared" si="5"/>
        <v>40.8577000000001-41.1648000000001</v>
      </c>
      <c r="E166">
        <v>0</v>
      </c>
    </row>
    <row r="167" spans="2:5" x14ac:dyDescent="0.25">
      <c r="B167">
        <v>135</v>
      </c>
      <c r="C167" s="294">
        <f t="shared" si="4"/>
        <v>41.472000000000136</v>
      </c>
      <c r="D167" t="str">
        <f t="shared" si="5"/>
        <v>41.1649000000001-41.4720000000001</v>
      </c>
      <c r="E167">
        <v>0</v>
      </c>
    </row>
    <row r="168" spans="2:5" x14ac:dyDescent="0.25">
      <c r="B168">
        <v>136</v>
      </c>
      <c r="C168" s="294">
        <f t="shared" si="4"/>
        <v>41.779200000000138</v>
      </c>
      <c r="D168" t="str">
        <f t="shared" si="5"/>
        <v>41.4721000000001-41.7792000000001</v>
      </c>
      <c r="E168">
        <v>0</v>
      </c>
    </row>
    <row r="169" spans="2:5" x14ac:dyDescent="0.25">
      <c r="B169">
        <v>137</v>
      </c>
      <c r="C169" s="294">
        <f t="shared" si="4"/>
        <v>42.08640000000014</v>
      </c>
      <c r="D169" t="str">
        <f t="shared" si="5"/>
        <v>41.7793000000001-42.0864000000001</v>
      </c>
      <c r="E169">
        <v>0</v>
      </c>
    </row>
    <row r="170" spans="2:5" x14ac:dyDescent="0.25">
      <c r="B170">
        <v>138</v>
      </c>
      <c r="C170" s="294">
        <f t="shared" si="4"/>
        <v>42.393600000000141</v>
      </c>
      <c r="D170" t="str">
        <f t="shared" si="5"/>
        <v>42.0865000000001-42.3936000000001</v>
      </c>
      <c r="E170">
        <v>0</v>
      </c>
    </row>
    <row r="171" spans="2:5" x14ac:dyDescent="0.25">
      <c r="B171">
        <v>139</v>
      </c>
      <c r="C171" s="294">
        <f t="shared" si="4"/>
        <v>42.700800000000143</v>
      </c>
      <c r="D171" t="str">
        <f t="shared" si="5"/>
        <v>42.3937000000001-42.7008000000001</v>
      </c>
      <c r="E171">
        <v>0</v>
      </c>
    </row>
    <row r="172" spans="2:5" x14ac:dyDescent="0.25">
      <c r="B172">
        <v>140</v>
      </c>
      <c r="C172" s="294">
        <f t="shared" si="4"/>
        <v>43.008000000000145</v>
      </c>
      <c r="D172" t="str">
        <f t="shared" si="5"/>
        <v>42.7009000000001-43.0080000000001</v>
      </c>
      <c r="E172">
        <v>0</v>
      </c>
    </row>
    <row r="173" spans="2:5" x14ac:dyDescent="0.25">
      <c r="B173">
        <v>141</v>
      </c>
      <c r="C173" s="294">
        <f t="shared" si="4"/>
        <v>43.315200000000146</v>
      </c>
      <c r="D173" t="str">
        <f t="shared" si="5"/>
        <v>43.0081000000001-43.3152000000001</v>
      </c>
      <c r="E173">
        <v>0</v>
      </c>
    </row>
    <row r="174" spans="2:5" x14ac:dyDescent="0.25">
      <c r="B174">
        <v>142</v>
      </c>
      <c r="C174" s="294">
        <f t="shared" si="4"/>
        <v>43.622400000000148</v>
      </c>
      <c r="D174" t="str">
        <f t="shared" si="5"/>
        <v>43.3153000000001-43.6224000000001</v>
      </c>
      <c r="E174">
        <v>0</v>
      </c>
    </row>
    <row r="175" spans="2:5" x14ac:dyDescent="0.25">
      <c r="B175">
        <v>143</v>
      </c>
      <c r="C175" s="294">
        <f t="shared" si="4"/>
        <v>43.92960000000015</v>
      </c>
      <c r="D175" t="str">
        <f t="shared" si="5"/>
        <v>43.6225000000002-43.9296000000001</v>
      </c>
      <c r="E175">
        <v>0</v>
      </c>
    </row>
    <row r="176" spans="2:5" x14ac:dyDescent="0.25">
      <c r="B176">
        <v>144</v>
      </c>
      <c r="C176" s="294">
        <f t="shared" si="4"/>
        <v>44.236800000000152</v>
      </c>
      <c r="D176" t="str">
        <f t="shared" si="5"/>
        <v>43.9297000000002-44.2368000000002</v>
      </c>
      <c r="E176">
        <v>0</v>
      </c>
    </row>
    <row r="177" spans="2:5" x14ac:dyDescent="0.25">
      <c r="B177">
        <v>145</v>
      </c>
      <c r="C177" s="294">
        <f t="shared" si="4"/>
        <v>44.544000000000153</v>
      </c>
      <c r="D177" t="str">
        <f t="shared" si="5"/>
        <v>44.2369000000002-44.5440000000002</v>
      </c>
      <c r="E177">
        <v>0</v>
      </c>
    </row>
    <row r="178" spans="2:5" x14ac:dyDescent="0.25">
      <c r="B178">
        <v>146</v>
      </c>
      <c r="C178" s="294">
        <f t="shared" si="4"/>
        <v>44.851200000000155</v>
      </c>
      <c r="D178" t="str">
        <f t="shared" si="5"/>
        <v>44.5441000000002-44.8512000000002</v>
      </c>
      <c r="E178">
        <v>0</v>
      </c>
    </row>
    <row r="179" spans="2:5" x14ac:dyDescent="0.25">
      <c r="B179">
        <v>147</v>
      </c>
      <c r="C179" s="294">
        <f t="shared" si="4"/>
        <v>45.158400000000157</v>
      </c>
      <c r="D179" t="str">
        <f t="shared" si="5"/>
        <v>44.8513000000002-45.1584000000002</v>
      </c>
      <c r="E179">
        <v>0</v>
      </c>
    </row>
    <row r="180" spans="2:5" x14ac:dyDescent="0.25">
      <c r="B180">
        <v>148</v>
      </c>
      <c r="C180" s="294">
        <f t="shared" si="4"/>
        <v>45.465600000000158</v>
      </c>
      <c r="D180" t="str">
        <f t="shared" si="5"/>
        <v>45.1585000000002-45.4656000000002</v>
      </c>
      <c r="E180">
        <v>0</v>
      </c>
    </row>
    <row r="181" spans="2:5" x14ac:dyDescent="0.25">
      <c r="B181">
        <v>149</v>
      </c>
      <c r="C181" s="294">
        <f t="shared" si="4"/>
        <v>45.77280000000016</v>
      </c>
      <c r="D181" t="str">
        <f t="shared" si="5"/>
        <v>45.4657000000002-45.7728000000002</v>
      </c>
      <c r="E181">
        <v>0</v>
      </c>
    </row>
    <row r="182" spans="2:5" x14ac:dyDescent="0.25">
      <c r="B182">
        <v>150</v>
      </c>
      <c r="C182" s="294">
        <f t="shared" si="4"/>
        <v>46.080000000000162</v>
      </c>
      <c r="D182" t="str">
        <f t="shared" si="5"/>
        <v>45.7729000000002-46.0800000000002</v>
      </c>
      <c r="E182">
        <v>0</v>
      </c>
    </row>
    <row r="183" spans="2:5" x14ac:dyDescent="0.25">
      <c r="B183">
        <v>151</v>
      </c>
      <c r="C183" s="294">
        <f t="shared" si="4"/>
        <v>46.387200000000163</v>
      </c>
      <c r="D183" t="str">
        <f t="shared" si="5"/>
        <v>46.0801000000002-46.3872000000002</v>
      </c>
      <c r="E183">
        <v>0</v>
      </c>
    </row>
    <row r="184" spans="2:5" x14ac:dyDescent="0.25">
      <c r="B184">
        <v>152</v>
      </c>
      <c r="C184" s="294">
        <f t="shared" si="4"/>
        <v>46.694400000000165</v>
      </c>
      <c r="D184" t="str">
        <f t="shared" si="5"/>
        <v>46.3873000000002-46.6944000000002</v>
      </c>
      <c r="E184">
        <v>0</v>
      </c>
    </row>
    <row r="185" spans="2:5" x14ac:dyDescent="0.25">
      <c r="B185">
        <v>153</v>
      </c>
      <c r="C185" s="294">
        <f t="shared" si="4"/>
        <v>47.001600000000167</v>
      </c>
      <c r="D185" t="str">
        <f t="shared" si="5"/>
        <v>46.6945000000002-47.0016000000002</v>
      </c>
      <c r="E185">
        <v>0</v>
      </c>
    </row>
    <row r="186" spans="2:5" x14ac:dyDescent="0.25">
      <c r="B186">
        <v>154</v>
      </c>
      <c r="C186" s="294">
        <f t="shared" si="4"/>
        <v>47.308800000000168</v>
      </c>
      <c r="D186" t="str">
        <f t="shared" si="5"/>
        <v>47.0017000000002-47.3088000000002</v>
      </c>
      <c r="E186">
        <v>0</v>
      </c>
    </row>
    <row r="187" spans="2:5" x14ac:dyDescent="0.25">
      <c r="B187">
        <v>155</v>
      </c>
      <c r="C187" s="294">
        <f t="shared" si="4"/>
        <v>47.61600000000017</v>
      </c>
      <c r="D187" t="str">
        <f t="shared" si="5"/>
        <v>47.3089000000002-47.6160000000002</v>
      </c>
      <c r="E187">
        <v>0</v>
      </c>
    </row>
    <row r="188" spans="2:5" x14ac:dyDescent="0.25">
      <c r="B188">
        <v>156</v>
      </c>
      <c r="C188" s="294">
        <f t="shared" si="4"/>
        <v>47.923200000000172</v>
      </c>
      <c r="D188" t="str">
        <f t="shared" si="5"/>
        <v>47.6161000000002-47.9232000000002</v>
      </c>
      <c r="E188">
        <v>0</v>
      </c>
    </row>
    <row r="189" spans="2:5" x14ac:dyDescent="0.25">
      <c r="B189">
        <v>157</v>
      </c>
      <c r="C189" s="294">
        <f t="shared" si="4"/>
        <v>48.230400000000174</v>
      </c>
      <c r="D189" t="str">
        <f t="shared" si="5"/>
        <v>47.9233000000002-48.2304000000002</v>
      </c>
      <c r="E189">
        <v>0</v>
      </c>
    </row>
    <row r="190" spans="2:5" x14ac:dyDescent="0.25">
      <c r="B190">
        <v>158</v>
      </c>
      <c r="C190" s="294">
        <f t="shared" si="4"/>
        <v>48.537600000000175</v>
      </c>
      <c r="D190" t="str">
        <f t="shared" si="5"/>
        <v>48.2305000000002-48.5376000000002</v>
      </c>
      <c r="E190">
        <v>0</v>
      </c>
    </row>
    <row r="191" spans="2:5" x14ac:dyDescent="0.25">
      <c r="B191">
        <v>159</v>
      </c>
      <c r="C191" s="294">
        <f t="shared" si="4"/>
        <v>48.844800000000177</v>
      </c>
      <c r="D191" t="str">
        <f t="shared" si="5"/>
        <v>48.5377000000002-48.8448000000002</v>
      </c>
      <c r="E191">
        <v>0</v>
      </c>
    </row>
    <row r="192" spans="2:5" x14ac:dyDescent="0.25">
      <c r="B192">
        <v>160</v>
      </c>
      <c r="C192" s="294">
        <f t="shared" si="4"/>
        <v>49.152000000000179</v>
      </c>
      <c r="D192" t="str">
        <f t="shared" si="5"/>
        <v>48.8449000000002-49.1520000000002</v>
      </c>
      <c r="E192">
        <v>0</v>
      </c>
    </row>
    <row r="193" spans="2:5" x14ac:dyDescent="0.25">
      <c r="B193">
        <v>161</v>
      </c>
      <c r="C193" s="294">
        <f t="shared" si="4"/>
        <v>49.45920000000018</v>
      </c>
      <c r="D193" t="str">
        <f t="shared" si="5"/>
        <v>49.1521000000002-49.4592000000002</v>
      </c>
      <c r="E193">
        <v>0</v>
      </c>
    </row>
    <row r="194" spans="2:5" x14ac:dyDescent="0.25">
      <c r="B194">
        <v>162</v>
      </c>
      <c r="C194" s="294">
        <f t="shared" si="4"/>
        <v>49.766400000000182</v>
      </c>
      <c r="D194" t="str">
        <f t="shared" si="5"/>
        <v>49.4593000000002-49.7664000000002</v>
      </c>
      <c r="E194">
        <v>0</v>
      </c>
    </row>
    <row r="195" spans="2:5" x14ac:dyDescent="0.25">
      <c r="B195">
        <v>163</v>
      </c>
      <c r="C195" s="294">
        <f t="shared" si="4"/>
        <v>50.073600000000184</v>
      </c>
      <c r="D195" t="str">
        <f t="shared" si="5"/>
        <v>49.7665000000002-50.0736000000002</v>
      </c>
      <c r="E195">
        <v>0</v>
      </c>
    </row>
    <row r="196" spans="2:5" x14ac:dyDescent="0.25">
      <c r="B196">
        <v>164</v>
      </c>
      <c r="C196" s="294">
        <f t="shared" si="4"/>
        <v>50.380800000000185</v>
      </c>
      <c r="D196" t="str">
        <f t="shared" si="5"/>
        <v>50.0737000000002-50.3808000000002</v>
      </c>
      <c r="E196">
        <v>0</v>
      </c>
    </row>
    <row r="197" spans="2:5" x14ac:dyDescent="0.25">
      <c r="B197">
        <v>165</v>
      </c>
      <c r="C197" s="294">
        <f t="shared" si="4"/>
        <v>50.688000000000187</v>
      </c>
      <c r="D197" t="str">
        <f t="shared" si="5"/>
        <v>50.3809000000002-50.6880000000002</v>
      </c>
      <c r="E197">
        <v>0</v>
      </c>
    </row>
    <row r="198" spans="2:5" x14ac:dyDescent="0.25">
      <c r="B198">
        <v>166</v>
      </c>
      <c r="C198" s="294">
        <f t="shared" si="4"/>
        <v>50.995200000000189</v>
      </c>
      <c r="D198" t="str">
        <f t="shared" si="5"/>
        <v>50.6881000000002-50.9952000000002</v>
      </c>
      <c r="E198">
        <v>0</v>
      </c>
    </row>
    <row r="199" spans="2:5" x14ac:dyDescent="0.25">
      <c r="B199">
        <v>167</v>
      </c>
      <c r="C199" s="294">
        <f t="shared" si="4"/>
        <v>51.302400000000191</v>
      </c>
      <c r="D199" t="str">
        <f t="shared" si="5"/>
        <v>50.9953000000002-51.3024000000002</v>
      </c>
      <c r="E199">
        <v>0</v>
      </c>
    </row>
    <row r="200" spans="2:5" x14ac:dyDescent="0.25">
      <c r="B200">
        <v>168</v>
      </c>
      <c r="C200" s="294">
        <f t="shared" si="4"/>
        <v>51.609600000000192</v>
      </c>
      <c r="D200" t="str">
        <f t="shared" si="5"/>
        <v>51.3025000000002-51.6096000000002</v>
      </c>
      <c r="E200">
        <v>0</v>
      </c>
    </row>
    <row r="201" spans="2:5" x14ac:dyDescent="0.25">
      <c r="B201">
        <v>169</v>
      </c>
      <c r="C201" s="294">
        <f t="shared" si="4"/>
        <v>51.916800000000194</v>
      </c>
      <c r="D201" t="str">
        <f t="shared" si="5"/>
        <v>51.6097000000002-51.9168000000002</v>
      </c>
      <c r="E201">
        <v>0</v>
      </c>
    </row>
    <row r="202" spans="2:5" x14ac:dyDescent="0.25">
      <c r="B202">
        <v>170</v>
      </c>
      <c r="C202" s="294">
        <f t="shared" si="4"/>
        <v>52.224000000000196</v>
      </c>
      <c r="D202" t="str">
        <f t="shared" si="5"/>
        <v>51.9169000000002-52.2240000000002</v>
      </c>
      <c r="E202">
        <v>0</v>
      </c>
    </row>
    <row r="203" spans="2:5" x14ac:dyDescent="0.25">
      <c r="B203">
        <v>171</v>
      </c>
      <c r="C203" s="294">
        <f t="shared" si="4"/>
        <v>52.531200000000197</v>
      </c>
      <c r="D203" t="str">
        <f t="shared" si="5"/>
        <v>52.2241000000002-52.5312000000002</v>
      </c>
      <c r="E203">
        <v>0</v>
      </c>
    </row>
    <row r="204" spans="2:5" x14ac:dyDescent="0.25">
      <c r="B204">
        <v>172</v>
      </c>
      <c r="C204" s="294">
        <f t="shared" si="4"/>
        <v>52.838400000000199</v>
      </c>
      <c r="D204" t="str">
        <f t="shared" si="5"/>
        <v>52.5313000000002-52.8384000000002</v>
      </c>
      <c r="E204">
        <v>0</v>
      </c>
    </row>
    <row r="205" spans="2:5" x14ac:dyDescent="0.25">
      <c r="B205">
        <v>173</v>
      </c>
      <c r="C205" s="294">
        <f t="shared" si="4"/>
        <v>53.145600000000201</v>
      </c>
      <c r="D205" t="str">
        <f t="shared" si="5"/>
        <v>52.8385000000002-53.1456000000002</v>
      </c>
      <c r="E205">
        <v>0</v>
      </c>
    </row>
    <row r="206" spans="2:5" x14ac:dyDescent="0.25">
      <c r="B206">
        <v>174</v>
      </c>
      <c r="C206" s="294">
        <f t="shared" si="4"/>
        <v>53.452800000000202</v>
      </c>
      <c r="D206" t="str">
        <f t="shared" si="5"/>
        <v>53.1457000000002-53.4528000000002</v>
      </c>
      <c r="E206">
        <v>0</v>
      </c>
    </row>
    <row r="207" spans="2:5" x14ac:dyDescent="0.25">
      <c r="B207">
        <v>175</v>
      </c>
      <c r="C207" s="294">
        <f t="shared" si="4"/>
        <v>53.760000000000204</v>
      </c>
      <c r="D207" t="str">
        <f t="shared" si="5"/>
        <v>53.4529000000002-53.7600000000002</v>
      </c>
      <c r="E207">
        <v>0</v>
      </c>
    </row>
    <row r="208" spans="2:5" x14ac:dyDescent="0.25">
      <c r="B208">
        <v>176</v>
      </c>
      <c r="C208" s="294">
        <f t="shared" si="4"/>
        <v>54.067200000000206</v>
      </c>
      <c r="D208" t="str">
        <f t="shared" si="5"/>
        <v>53.7601000000002-54.0672000000002</v>
      </c>
      <c r="E208">
        <v>0</v>
      </c>
    </row>
    <row r="209" spans="2:5" x14ac:dyDescent="0.25">
      <c r="B209">
        <v>177</v>
      </c>
      <c r="C209" s="294">
        <f t="shared" si="4"/>
        <v>54.374400000000207</v>
      </c>
      <c r="D209" t="str">
        <f t="shared" si="5"/>
        <v>54.0673000000002-54.3744000000002</v>
      </c>
      <c r="E209">
        <v>0</v>
      </c>
    </row>
    <row r="210" spans="2:5" x14ac:dyDescent="0.25">
      <c r="B210">
        <v>178</v>
      </c>
      <c r="C210" s="294">
        <f t="shared" si="4"/>
        <v>54.681600000000209</v>
      </c>
      <c r="D210" t="str">
        <f t="shared" si="5"/>
        <v>54.3745000000002-54.6816000000002</v>
      </c>
      <c r="E210">
        <v>0</v>
      </c>
    </row>
    <row r="211" spans="2:5" x14ac:dyDescent="0.25">
      <c r="B211">
        <v>179</v>
      </c>
      <c r="C211" s="294">
        <f t="shared" si="4"/>
        <v>54.988800000000211</v>
      </c>
      <c r="D211" t="str">
        <f t="shared" si="5"/>
        <v>54.6817000000002-54.9888000000002</v>
      </c>
      <c r="E211">
        <v>0</v>
      </c>
    </row>
    <row r="212" spans="2:5" x14ac:dyDescent="0.25">
      <c r="B212">
        <v>180</v>
      </c>
      <c r="C212" s="294">
        <f t="shared" si="4"/>
        <v>55.296000000000213</v>
      </c>
      <c r="D212" t="str">
        <f t="shared" si="5"/>
        <v>54.9889000000002-55.2960000000002</v>
      </c>
      <c r="E212">
        <v>0</v>
      </c>
    </row>
    <row r="213" spans="2:5" x14ac:dyDescent="0.25">
      <c r="B213">
        <v>181</v>
      </c>
      <c r="C213" s="294">
        <f t="shared" si="4"/>
        <v>55.603200000000214</v>
      </c>
      <c r="D213" t="str">
        <f t="shared" si="5"/>
        <v>55.2961000000002-55.6032000000002</v>
      </c>
      <c r="E213">
        <v>0</v>
      </c>
    </row>
    <row r="214" spans="2:5" x14ac:dyDescent="0.25">
      <c r="B214">
        <v>182</v>
      </c>
      <c r="C214" s="294">
        <f t="shared" si="4"/>
        <v>55.910400000000216</v>
      </c>
      <c r="D214" t="str">
        <f t="shared" si="5"/>
        <v>55.6033000000002-55.9104000000002</v>
      </c>
      <c r="E214">
        <v>0</v>
      </c>
    </row>
    <row r="215" spans="2:5" x14ac:dyDescent="0.25">
      <c r="B215">
        <v>183</v>
      </c>
      <c r="C215" s="294">
        <f t="shared" si="4"/>
        <v>56.217600000000218</v>
      </c>
      <c r="D215" t="str">
        <f t="shared" si="5"/>
        <v>55.9105000000002-56.2176000000002</v>
      </c>
      <c r="E215">
        <v>0</v>
      </c>
    </row>
    <row r="216" spans="2:5" x14ac:dyDescent="0.25">
      <c r="B216">
        <v>184</v>
      </c>
      <c r="C216" s="294">
        <f t="shared" si="4"/>
        <v>56.524800000000219</v>
      </c>
      <c r="D216" t="str">
        <f t="shared" si="5"/>
        <v>56.2177000000002-56.5248000000002</v>
      </c>
      <c r="E216">
        <v>0</v>
      </c>
    </row>
    <row r="217" spans="2:5" x14ac:dyDescent="0.25">
      <c r="B217">
        <v>185</v>
      </c>
      <c r="C217" s="294">
        <f t="shared" si="4"/>
        <v>56.832000000000221</v>
      </c>
      <c r="D217" t="str">
        <f t="shared" si="5"/>
        <v>56.5249000000002-56.8320000000002</v>
      </c>
      <c r="E217">
        <v>0</v>
      </c>
    </row>
    <row r="218" spans="2:5" x14ac:dyDescent="0.25">
      <c r="B218">
        <v>186</v>
      </c>
      <c r="C218" s="294">
        <f t="shared" si="4"/>
        <v>57.139200000000223</v>
      </c>
      <c r="D218" t="str">
        <f t="shared" si="5"/>
        <v>56.8321000000002-57.1392000000002</v>
      </c>
      <c r="E218">
        <v>0</v>
      </c>
    </row>
    <row r="219" spans="2:5" x14ac:dyDescent="0.25">
      <c r="B219">
        <v>187</v>
      </c>
      <c r="C219" s="294">
        <f t="shared" si="4"/>
        <v>57.446400000000224</v>
      </c>
      <c r="D219" t="str">
        <f t="shared" si="5"/>
        <v>57.1393000000002-57.4464000000002</v>
      </c>
      <c r="E219">
        <v>0</v>
      </c>
    </row>
    <row r="220" spans="2:5" x14ac:dyDescent="0.25">
      <c r="B220">
        <v>188</v>
      </c>
      <c r="C220" s="294">
        <f t="shared" si="4"/>
        <v>57.753600000000226</v>
      </c>
      <c r="D220" t="str">
        <f t="shared" si="5"/>
        <v>57.4465000000002-57.7536000000002</v>
      </c>
      <c r="E220">
        <v>0</v>
      </c>
    </row>
    <row r="221" spans="2:5" x14ac:dyDescent="0.25">
      <c r="B221">
        <v>189</v>
      </c>
      <c r="C221" s="294">
        <f t="shared" si="4"/>
        <v>58.060800000000228</v>
      </c>
      <c r="D221" t="str">
        <f t="shared" si="5"/>
        <v>57.7537000000002-58.0608000000002</v>
      </c>
      <c r="E221">
        <v>1</v>
      </c>
    </row>
    <row r="222" spans="2:5" x14ac:dyDescent="0.25">
      <c r="B222">
        <v>190</v>
      </c>
      <c r="C222" s="294">
        <f t="shared" si="4"/>
        <v>58.368000000000229</v>
      </c>
      <c r="D222" t="str">
        <f t="shared" si="5"/>
        <v>58.0609000000002-58.3680000000002</v>
      </c>
      <c r="E222">
        <v>0</v>
      </c>
    </row>
    <row r="223" spans="2:5" x14ac:dyDescent="0.25">
      <c r="B223">
        <v>191</v>
      </c>
      <c r="C223" s="294">
        <f t="shared" si="4"/>
        <v>58.675200000000231</v>
      </c>
      <c r="D223" t="str">
        <f t="shared" si="5"/>
        <v>58.3681000000002-58.6752000000002</v>
      </c>
      <c r="E223">
        <v>0</v>
      </c>
    </row>
    <row r="224" spans="2:5" x14ac:dyDescent="0.25">
      <c r="B224">
        <v>192</v>
      </c>
      <c r="C224" s="294">
        <f t="shared" si="4"/>
        <v>58.982400000000233</v>
      </c>
      <c r="D224" t="str">
        <f t="shared" si="5"/>
        <v>58.6753000000002-58.9824000000002</v>
      </c>
      <c r="E224">
        <v>0</v>
      </c>
    </row>
    <row r="225" spans="2:5" x14ac:dyDescent="0.25">
      <c r="B225">
        <v>193</v>
      </c>
      <c r="C225" s="294">
        <f t="shared" ref="C225:C288" si="6">IF(B225&gt;$C$29,$C$27,C224+$C$30)</f>
        <v>59.289600000000235</v>
      </c>
      <c r="D225" t="str">
        <f t="shared" ref="D225:D288" si="7">C224+0.0001 &amp;"-"&amp;C225</f>
        <v>58.9825000000002-59.2896000000002</v>
      </c>
      <c r="E225">
        <v>0</v>
      </c>
    </row>
    <row r="226" spans="2:5" x14ac:dyDescent="0.25">
      <c r="B226">
        <v>194</v>
      </c>
      <c r="C226" s="294">
        <f t="shared" si="6"/>
        <v>59.596800000000236</v>
      </c>
      <c r="D226" t="str">
        <f t="shared" si="7"/>
        <v>59.2897000000002-59.5968000000002</v>
      </c>
      <c r="E226">
        <v>0</v>
      </c>
    </row>
    <row r="227" spans="2:5" x14ac:dyDescent="0.25">
      <c r="B227">
        <v>195</v>
      </c>
      <c r="C227" s="294">
        <f t="shared" si="6"/>
        <v>59.904000000000238</v>
      </c>
      <c r="D227" t="str">
        <f t="shared" si="7"/>
        <v>59.5969000000002-59.9040000000002</v>
      </c>
      <c r="E227">
        <v>0</v>
      </c>
    </row>
    <row r="228" spans="2:5" x14ac:dyDescent="0.25">
      <c r="B228">
        <v>196</v>
      </c>
      <c r="C228" s="294">
        <f t="shared" si="6"/>
        <v>60.21120000000024</v>
      </c>
      <c r="D228" t="str">
        <f t="shared" si="7"/>
        <v>59.9041000000002-60.2112000000002</v>
      </c>
      <c r="E228">
        <v>0</v>
      </c>
    </row>
    <row r="229" spans="2:5" x14ac:dyDescent="0.25">
      <c r="B229">
        <v>197</v>
      </c>
      <c r="C229" s="294">
        <f t="shared" si="6"/>
        <v>60.518400000000241</v>
      </c>
      <c r="D229" t="str">
        <f t="shared" si="7"/>
        <v>60.2113000000002-60.5184000000002</v>
      </c>
      <c r="E229">
        <v>0</v>
      </c>
    </row>
    <row r="230" spans="2:5" x14ac:dyDescent="0.25">
      <c r="B230">
        <v>198</v>
      </c>
      <c r="C230" s="294">
        <f t="shared" si="6"/>
        <v>60.825600000000243</v>
      </c>
      <c r="D230" t="str">
        <f t="shared" si="7"/>
        <v>60.5185000000002-60.8256000000002</v>
      </c>
      <c r="E230">
        <v>0</v>
      </c>
    </row>
    <row r="231" spans="2:5" x14ac:dyDescent="0.25">
      <c r="B231">
        <v>199</v>
      </c>
      <c r="C231" s="294">
        <f t="shared" si="6"/>
        <v>61.132800000000245</v>
      </c>
      <c r="D231" t="str">
        <f t="shared" si="7"/>
        <v>60.8257000000002-61.1328000000002</v>
      </c>
      <c r="E231">
        <v>0</v>
      </c>
    </row>
    <row r="232" spans="2:5" x14ac:dyDescent="0.25">
      <c r="B232">
        <v>200</v>
      </c>
      <c r="C232" s="294">
        <f t="shared" si="6"/>
        <v>61.440000000000246</v>
      </c>
      <c r="D232" t="str">
        <f t="shared" si="7"/>
        <v>61.1329000000002-61.4400000000002</v>
      </c>
      <c r="E232">
        <v>0</v>
      </c>
    </row>
    <row r="233" spans="2:5" x14ac:dyDescent="0.25">
      <c r="B233">
        <v>201</v>
      </c>
      <c r="C233" s="294">
        <f t="shared" si="6"/>
        <v>61.747200000000248</v>
      </c>
      <c r="D233" t="str">
        <f t="shared" si="7"/>
        <v>61.4401000000002-61.7472000000002</v>
      </c>
      <c r="E233">
        <v>0</v>
      </c>
    </row>
    <row r="234" spans="2:5" x14ac:dyDescent="0.25">
      <c r="B234">
        <v>202</v>
      </c>
      <c r="C234" s="294">
        <f t="shared" si="6"/>
        <v>62.05440000000025</v>
      </c>
      <c r="D234" t="str">
        <f t="shared" si="7"/>
        <v>61.7473000000003-62.0544000000002</v>
      </c>
      <c r="E234">
        <v>0</v>
      </c>
    </row>
    <row r="235" spans="2:5" x14ac:dyDescent="0.25">
      <c r="B235">
        <v>203</v>
      </c>
      <c r="C235" s="294">
        <f t="shared" si="6"/>
        <v>62.361600000000251</v>
      </c>
      <c r="D235" t="str">
        <f t="shared" si="7"/>
        <v>62.0545000000003-62.3616000000003</v>
      </c>
      <c r="E235">
        <v>0</v>
      </c>
    </row>
    <row r="236" spans="2:5" x14ac:dyDescent="0.25">
      <c r="B236">
        <v>204</v>
      </c>
      <c r="C236" s="294">
        <f t="shared" si="6"/>
        <v>62.668800000000253</v>
      </c>
      <c r="D236" t="str">
        <f t="shared" si="7"/>
        <v>62.3617000000003-62.6688000000003</v>
      </c>
      <c r="E236">
        <v>0</v>
      </c>
    </row>
    <row r="237" spans="2:5" x14ac:dyDescent="0.25">
      <c r="B237">
        <v>205</v>
      </c>
      <c r="C237" s="294">
        <f t="shared" si="6"/>
        <v>62.976000000000255</v>
      </c>
      <c r="D237" t="str">
        <f t="shared" si="7"/>
        <v>62.6689000000003-62.9760000000003</v>
      </c>
      <c r="E237">
        <v>0</v>
      </c>
    </row>
    <row r="238" spans="2:5" x14ac:dyDescent="0.25">
      <c r="B238">
        <v>206</v>
      </c>
      <c r="C238" s="294">
        <f t="shared" si="6"/>
        <v>63.283200000000257</v>
      </c>
      <c r="D238" t="str">
        <f t="shared" si="7"/>
        <v>62.9761000000003-63.2832000000003</v>
      </c>
      <c r="E238">
        <v>0</v>
      </c>
    </row>
    <row r="239" spans="2:5" x14ac:dyDescent="0.25">
      <c r="B239">
        <v>207</v>
      </c>
      <c r="C239" s="294">
        <f t="shared" si="6"/>
        <v>63.590400000000258</v>
      </c>
      <c r="D239" t="str">
        <f t="shared" si="7"/>
        <v>63.2833000000003-63.5904000000003</v>
      </c>
      <c r="E239">
        <v>0</v>
      </c>
    </row>
    <row r="240" spans="2:5" x14ac:dyDescent="0.25">
      <c r="B240">
        <v>208</v>
      </c>
      <c r="C240" s="294">
        <f t="shared" si="6"/>
        <v>63.89760000000026</v>
      </c>
      <c r="D240" t="str">
        <f t="shared" si="7"/>
        <v>63.5905000000003-63.8976000000003</v>
      </c>
      <c r="E240">
        <v>0</v>
      </c>
    </row>
    <row r="241" spans="2:5" x14ac:dyDescent="0.25">
      <c r="B241">
        <v>209</v>
      </c>
      <c r="C241" s="294">
        <f t="shared" si="6"/>
        <v>64.204800000000262</v>
      </c>
      <c r="D241" t="str">
        <f t="shared" si="7"/>
        <v>63.8977000000003-64.2048000000003</v>
      </c>
      <c r="E241">
        <v>0</v>
      </c>
    </row>
    <row r="242" spans="2:5" x14ac:dyDescent="0.25">
      <c r="B242">
        <v>210</v>
      </c>
      <c r="C242" s="294">
        <f t="shared" si="6"/>
        <v>64.512000000000256</v>
      </c>
      <c r="D242" t="str">
        <f t="shared" si="7"/>
        <v>64.2049000000003-64.5120000000003</v>
      </c>
      <c r="E242">
        <v>0</v>
      </c>
    </row>
    <row r="243" spans="2:5" x14ac:dyDescent="0.25">
      <c r="B243">
        <v>211</v>
      </c>
      <c r="C243" s="294">
        <f t="shared" si="6"/>
        <v>64.819200000000251</v>
      </c>
      <c r="D243" t="str">
        <f t="shared" si="7"/>
        <v>64.5121000000003-64.8192000000003</v>
      </c>
      <c r="E243">
        <v>0</v>
      </c>
    </row>
    <row r="244" spans="2:5" x14ac:dyDescent="0.25">
      <c r="B244">
        <v>212</v>
      </c>
      <c r="C244" s="294">
        <f t="shared" si="6"/>
        <v>65.126400000000245</v>
      </c>
      <c r="D244" t="str">
        <f t="shared" si="7"/>
        <v>64.8193000000003-65.1264000000002</v>
      </c>
      <c r="E244">
        <v>0</v>
      </c>
    </row>
    <row r="245" spans="2:5" x14ac:dyDescent="0.25">
      <c r="B245">
        <v>213</v>
      </c>
      <c r="C245" s="294">
        <f t="shared" si="6"/>
        <v>65.43360000000024</v>
      </c>
      <c r="D245" t="str">
        <f t="shared" si="7"/>
        <v>65.1265000000002-65.4336000000002</v>
      </c>
      <c r="E245">
        <v>0</v>
      </c>
    </row>
    <row r="246" spans="2:5" x14ac:dyDescent="0.25">
      <c r="B246">
        <v>214</v>
      </c>
      <c r="C246" s="294">
        <f t="shared" si="6"/>
        <v>65.740800000000235</v>
      </c>
      <c r="D246" t="str">
        <f t="shared" si="7"/>
        <v>65.4337000000002-65.7408000000002</v>
      </c>
      <c r="E246">
        <v>0</v>
      </c>
    </row>
    <row r="247" spans="2:5" x14ac:dyDescent="0.25">
      <c r="B247">
        <v>215</v>
      </c>
      <c r="C247" s="294">
        <f t="shared" si="6"/>
        <v>66.048000000000229</v>
      </c>
      <c r="D247" t="str">
        <f t="shared" si="7"/>
        <v>65.7409000000002-66.0480000000002</v>
      </c>
      <c r="E247">
        <v>0</v>
      </c>
    </row>
    <row r="248" spans="2:5" x14ac:dyDescent="0.25">
      <c r="B248">
        <v>216</v>
      </c>
      <c r="C248" s="294">
        <f t="shared" si="6"/>
        <v>66.355200000000224</v>
      </c>
      <c r="D248" t="str">
        <f t="shared" si="7"/>
        <v>66.0481000000002-66.3552000000002</v>
      </c>
      <c r="E248">
        <v>0</v>
      </c>
    </row>
    <row r="249" spans="2:5" x14ac:dyDescent="0.25">
      <c r="B249">
        <v>217</v>
      </c>
      <c r="C249" s="294">
        <f t="shared" si="6"/>
        <v>66.662400000000218</v>
      </c>
      <c r="D249" t="str">
        <f t="shared" si="7"/>
        <v>66.3553000000002-66.6624000000002</v>
      </c>
      <c r="E249">
        <v>0</v>
      </c>
    </row>
    <row r="250" spans="2:5" x14ac:dyDescent="0.25">
      <c r="B250">
        <v>218</v>
      </c>
      <c r="C250" s="294">
        <f t="shared" si="6"/>
        <v>66.969600000000213</v>
      </c>
      <c r="D250" t="str">
        <f t="shared" si="7"/>
        <v>66.6625000000002-66.9696000000002</v>
      </c>
      <c r="E250">
        <v>0</v>
      </c>
    </row>
    <row r="251" spans="2:5" x14ac:dyDescent="0.25">
      <c r="B251">
        <v>219</v>
      </c>
      <c r="C251" s="294">
        <f t="shared" si="6"/>
        <v>67.276800000000208</v>
      </c>
      <c r="D251" t="str">
        <f t="shared" si="7"/>
        <v>66.9697000000002-67.2768000000002</v>
      </c>
      <c r="E251">
        <v>0</v>
      </c>
    </row>
    <row r="252" spans="2:5" x14ac:dyDescent="0.25">
      <c r="B252">
        <v>220</v>
      </c>
      <c r="C252" s="294">
        <f t="shared" si="6"/>
        <v>67.584000000000202</v>
      </c>
      <c r="D252" t="str">
        <f t="shared" si="7"/>
        <v>67.2769000000002-67.5840000000002</v>
      </c>
      <c r="E252">
        <v>0</v>
      </c>
    </row>
    <row r="253" spans="2:5" x14ac:dyDescent="0.25">
      <c r="B253">
        <v>221</v>
      </c>
      <c r="C253" s="294">
        <f t="shared" si="6"/>
        <v>67.891200000000197</v>
      </c>
      <c r="D253" t="str">
        <f t="shared" si="7"/>
        <v>67.5841000000002-67.8912000000002</v>
      </c>
      <c r="E253">
        <v>0</v>
      </c>
    </row>
    <row r="254" spans="2:5" x14ac:dyDescent="0.25">
      <c r="B254">
        <v>222</v>
      </c>
      <c r="C254" s="294">
        <f t="shared" si="6"/>
        <v>68.198400000000191</v>
      </c>
      <c r="D254" t="str">
        <f t="shared" si="7"/>
        <v>67.8913000000002-68.1984000000002</v>
      </c>
      <c r="E254">
        <v>0</v>
      </c>
    </row>
    <row r="255" spans="2:5" x14ac:dyDescent="0.25">
      <c r="B255">
        <v>223</v>
      </c>
      <c r="C255" s="294">
        <f t="shared" si="6"/>
        <v>68.505600000000186</v>
      </c>
      <c r="D255" t="str">
        <f t="shared" si="7"/>
        <v>68.1985000000002-68.5056000000002</v>
      </c>
      <c r="E255">
        <v>0</v>
      </c>
    </row>
    <row r="256" spans="2:5" x14ac:dyDescent="0.25">
      <c r="B256">
        <v>224</v>
      </c>
      <c r="C256" s="294">
        <f t="shared" si="6"/>
        <v>68.81280000000018</v>
      </c>
      <c r="D256" t="str">
        <f t="shared" si="7"/>
        <v>68.5057000000002-68.8128000000002</v>
      </c>
      <c r="E256">
        <v>0</v>
      </c>
    </row>
    <row r="257" spans="2:5" x14ac:dyDescent="0.25">
      <c r="B257">
        <v>225</v>
      </c>
      <c r="C257" s="294">
        <f t="shared" si="6"/>
        <v>69.120000000000175</v>
      </c>
      <c r="D257" t="str">
        <f t="shared" si="7"/>
        <v>68.8129000000002-69.1200000000002</v>
      </c>
      <c r="E257">
        <v>0</v>
      </c>
    </row>
    <row r="258" spans="2:5" x14ac:dyDescent="0.25">
      <c r="B258">
        <v>226</v>
      </c>
      <c r="C258" s="294">
        <f t="shared" si="6"/>
        <v>69.42720000000017</v>
      </c>
      <c r="D258" t="str">
        <f t="shared" si="7"/>
        <v>69.1201000000002-69.4272000000002</v>
      </c>
      <c r="E258">
        <v>0</v>
      </c>
    </row>
    <row r="259" spans="2:5" x14ac:dyDescent="0.25">
      <c r="B259">
        <v>227</v>
      </c>
      <c r="C259" s="294">
        <f t="shared" si="6"/>
        <v>69.734400000000164</v>
      </c>
      <c r="D259" t="str">
        <f t="shared" si="7"/>
        <v>69.4273000000002-69.7344000000002</v>
      </c>
      <c r="E259">
        <v>0</v>
      </c>
    </row>
    <row r="260" spans="2:5" x14ac:dyDescent="0.25">
      <c r="B260">
        <v>228</v>
      </c>
      <c r="C260" s="294">
        <f t="shared" si="6"/>
        <v>70.041600000000159</v>
      </c>
      <c r="D260" t="str">
        <f t="shared" si="7"/>
        <v>69.7345000000002-70.0416000000002</v>
      </c>
      <c r="E260">
        <v>0</v>
      </c>
    </row>
    <row r="261" spans="2:5" x14ac:dyDescent="0.25">
      <c r="B261">
        <v>229</v>
      </c>
      <c r="C261" s="294">
        <f t="shared" si="6"/>
        <v>70.348800000000153</v>
      </c>
      <c r="D261" t="str">
        <f t="shared" si="7"/>
        <v>70.0417000000002-70.3488000000002</v>
      </c>
      <c r="E261">
        <v>0</v>
      </c>
    </row>
    <row r="262" spans="2:5" x14ac:dyDescent="0.25">
      <c r="B262">
        <v>230</v>
      </c>
      <c r="C262" s="294">
        <f t="shared" si="6"/>
        <v>70.656000000000148</v>
      </c>
      <c r="D262" t="str">
        <f t="shared" si="7"/>
        <v>70.3489000000002-70.6560000000001</v>
      </c>
      <c r="E262">
        <v>0</v>
      </c>
    </row>
    <row r="263" spans="2:5" x14ac:dyDescent="0.25">
      <c r="B263">
        <v>231</v>
      </c>
      <c r="C263" s="294">
        <f t="shared" si="6"/>
        <v>70.963200000000143</v>
      </c>
      <c r="D263" t="str">
        <f t="shared" si="7"/>
        <v>70.6561000000002-70.9632000000001</v>
      </c>
      <c r="E263">
        <v>0</v>
      </c>
    </row>
    <row r="264" spans="2:5" x14ac:dyDescent="0.25">
      <c r="B264">
        <v>232</v>
      </c>
      <c r="C264" s="294">
        <f t="shared" si="6"/>
        <v>71.270400000000137</v>
      </c>
      <c r="D264" t="str">
        <f t="shared" si="7"/>
        <v>70.9633000000001-71.2704000000001</v>
      </c>
      <c r="E264">
        <v>0</v>
      </c>
    </row>
    <row r="265" spans="2:5" x14ac:dyDescent="0.25">
      <c r="B265">
        <v>233</v>
      </c>
      <c r="C265" s="294">
        <f t="shared" si="6"/>
        <v>71.577600000000132</v>
      </c>
      <c r="D265" t="str">
        <f t="shared" si="7"/>
        <v>71.2705000000001-71.5776000000001</v>
      </c>
      <c r="E265">
        <v>0</v>
      </c>
    </row>
    <row r="266" spans="2:5" x14ac:dyDescent="0.25">
      <c r="B266">
        <v>234</v>
      </c>
      <c r="C266" s="294">
        <f t="shared" si="6"/>
        <v>71.884800000000126</v>
      </c>
      <c r="D266" t="str">
        <f t="shared" si="7"/>
        <v>71.5777000000001-71.8848000000001</v>
      </c>
      <c r="E266">
        <v>0</v>
      </c>
    </row>
    <row r="267" spans="2:5" x14ac:dyDescent="0.25">
      <c r="B267">
        <v>235</v>
      </c>
      <c r="C267" s="294">
        <f t="shared" si="6"/>
        <v>72.192000000000121</v>
      </c>
      <c r="D267" t="str">
        <f t="shared" si="7"/>
        <v>71.8849000000001-72.1920000000001</v>
      </c>
      <c r="E267">
        <v>0</v>
      </c>
    </row>
    <row r="268" spans="2:5" x14ac:dyDescent="0.25">
      <c r="B268">
        <v>236</v>
      </c>
      <c r="C268" s="294">
        <f t="shared" si="6"/>
        <v>72.499200000000116</v>
      </c>
      <c r="D268" t="str">
        <f t="shared" si="7"/>
        <v>72.1921000000001-72.4992000000001</v>
      </c>
      <c r="E268">
        <v>0</v>
      </c>
    </row>
    <row r="269" spans="2:5" x14ac:dyDescent="0.25">
      <c r="B269">
        <v>237</v>
      </c>
      <c r="C269" s="294">
        <f t="shared" si="6"/>
        <v>72.80640000000011</v>
      </c>
      <c r="D269" t="str">
        <f t="shared" si="7"/>
        <v>72.4993000000001-72.8064000000001</v>
      </c>
      <c r="E269">
        <v>0</v>
      </c>
    </row>
    <row r="270" spans="2:5" x14ac:dyDescent="0.25">
      <c r="B270">
        <v>238</v>
      </c>
      <c r="C270" s="294">
        <f t="shared" si="6"/>
        <v>73.113600000000105</v>
      </c>
      <c r="D270" t="str">
        <f t="shared" si="7"/>
        <v>72.8065000000001-73.1136000000001</v>
      </c>
      <c r="E270">
        <v>0</v>
      </c>
    </row>
    <row r="271" spans="2:5" x14ac:dyDescent="0.25">
      <c r="B271">
        <v>239</v>
      </c>
      <c r="C271" s="294">
        <f t="shared" si="6"/>
        <v>73.420800000000099</v>
      </c>
      <c r="D271" t="str">
        <f t="shared" si="7"/>
        <v>73.1137000000001-73.4208000000001</v>
      </c>
      <c r="E271">
        <v>0</v>
      </c>
    </row>
    <row r="272" spans="2:5" x14ac:dyDescent="0.25">
      <c r="B272">
        <v>240</v>
      </c>
      <c r="C272" s="294">
        <f t="shared" si="6"/>
        <v>73.728000000000094</v>
      </c>
      <c r="D272" t="str">
        <f t="shared" si="7"/>
        <v>73.4209000000001-73.7280000000001</v>
      </c>
      <c r="E272">
        <v>0</v>
      </c>
    </row>
    <row r="273" spans="2:5" x14ac:dyDescent="0.25">
      <c r="B273">
        <v>241</v>
      </c>
      <c r="C273" s="294">
        <f t="shared" si="6"/>
        <v>74.035200000000088</v>
      </c>
      <c r="D273" t="str">
        <f t="shared" si="7"/>
        <v>73.7281000000001-74.0352000000001</v>
      </c>
      <c r="E273">
        <v>0</v>
      </c>
    </row>
    <row r="274" spans="2:5" x14ac:dyDescent="0.25">
      <c r="B274">
        <v>242</v>
      </c>
      <c r="C274" s="294">
        <f t="shared" si="6"/>
        <v>74.342400000000083</v>
      </c>
      <c r="D274" t="str">
        <f t="shared" si="7"/>
        <v>74.0353000000001-74.3424000000001</v>
      </c>
      <c r="E274">
        <v>0</v>
      </c>
    </row>
    <row r="275" spans="2:5" x14ac:dyDescent="0.25">
      <c r="B275">
        <v>243</v>
      </c>
      <c r="C275" s="294">
        <f t="shared" si="6"/>
        <v>74.649600000000078</v>
      </c>
      <c r="D275" t="str">
        <f t="shared" si="7"/>
        <v>74.3425000000001-74.6496000000001</v>
      </c>
      <c r="E275">
        <v>0</v>
      </c>
    </row>
    <row r="276" spans="2:5" x14ac:dyDescent="0.25">
      <c r="B276">
        <v>244</v>
      </c>
      <c r="C276" s="294">
        <f t="shared" si="6"/>
        <v>74.956800000000072</v>
      </c>
      <c r="D276" t="str">
        <f t="shared" si="7"/>
        <v>74.6497000000001-74.9568000000001</v>
      </c>
      <c r="E276">
        <v>0</v>
      </c>
    </row>
    <row r="277" spans="2:5" x14ac:dyDescent="0.25">
      <c r="B277">
        <v>245</v>
      </c>
      <c r="C277" s="294">
        <f t="shared" si="6"/>
        <v>75.264000000000067</v>
      </c>
      <c r="D277" t="str">
        <f t="shared" si="7"/>
        <v>74.9569000000001-75.2640000000001</v>
      </c>
      <c r="E277">
        <v>0</v>
      </c>
    </row>
    <row r="278" spans="2:5" x14ac:dyDescent="0.25">
      <c r="B278">
        <v>246</v>
      </c>
      <c r="C278" s="294">
        <f t="shared" si="6"/>
        <v>75.571200000000061</v>
      </c>
      <c r="D278" t="str">
        <f t="shared" si="7"/>
        <v>75.2641000000001-75.5712000000001</v>
      </c>
      <c r="E278">
        <v>0</v>
      </c>
    </row>
    <row r="279" spans="2:5" x14ac:dyDescent="0.25">
      <c r="B279">
        <v>247</v>
      </c>
      <c r="C279" s="294">
        <f t="shared" si="6"/>
        <v>75.878400000000056</v>
      </c>
      <c r="D279" t="str">
        <f t="shared" si="7"/>
        <v>75.5713000000001-75.8784000000001</v>
      </c>
      <c r="E279">
        <v>0</v>
      </c>
    </row>
    <row r="280" spans="2:5" x14ac:dyDescent="0.25">
      <c r="B280">
        <v>248</v>
      </c>
      <c r="C280" s="294">
        <f t="shared" si="6"/>
        <v>76.185600000000051</v>
      </c>
      <c r="D280" t="str">
        <f t="shared" si="7"/>
        <v>75.8785000000001-76.1856000000001</v>
      </c>
      <c r="E280">
        <v>0</v>
      </c>
    </row>
    <row r="281" spans="2:5" x14ac:dyDescent="0.25">
      <c r="B281">
        <v>249</v>
      </c>
      <c r="C281" s="294">
        <f t="shared" si="6"/>
        <v>76.492800000000045</v>
      </c>
      <c r="D281" t="str">
        <f t="shared" si="7"/>
        <v>76.1857000000001-76.4928</v>
      </c>
      <c r="E281">
        <v>0</v>
      </c>
    </row>
    <row r="282" spans="2:5" x14ac:dyDescent="0.25">
      <c r="B282">
        <v>250</v>
      </c>
      <c r="C282" s="294">
        <f t="shared" si="6"/>
        <v>76.80000000000004</v>
      </c>
      <c r="D282" t="str">
        <f t="shared" si="7"/>
        <v>76.4929-76.8</v>
      </c>
      <c r="E282">
        <v>0</v>
      </c>
    </row>
    <row r="283" spans="2:5" x14ac:dyDescent="0.25">
      <c r="B283">
        <v>251</v>
      </c>
      <c r="C283" s="294">
        <f t="shared" si="6"/>
        <v>77.107200000000034</v>
      </c>
      <c r="D283" t="str">
        <f t="shared" si="7"/>
        <v>76.8001-77.1072</v>
      </c>
      <c r="E283">
        <v>0</v>
      </c>
    </row>
    <row r="284" spans="2:5" x14ac:dyDescent="0.25">
      <c r="B284">
        <v>252</v>
      </c>
      <c r="C284" s="294">
        <f t="shared" si="6"/>
        <v>77.414400000000029</v>
      </c>
      <c r="D284" t="str">
        <f t="shared" si="7"/>
        <v>77.1073-77.4144</v>
      </c>
      <c r="E284">
        <v>0</v>
      </c>
    </row>
    <row r="285" spans="2:5" x14ac:dyDescent="0.25">
      <c r="B285">
        <v>253</v>
      </c>
      <c r="C285" s="294">
        <f t="shared" si="6"/>
        <v>77.721600000000024</v>
      </c>
      <c r="D285" t="str">
        <f t="shared" si="7"/>
        <v>77.4145-77.7216</v>
      </c>
      <c r="E285">
        <v>0</v>
      </c>
    </row>
    <row r="286" spans="2:5" x14ac:dyDescent="0.25">
      <c r="B286">
        <v>254</v>
      </c>
      <c r="C286" s="294">
        <f t="shared" si="6"/>
        <v>78.028800000000018</v>
      </c>
      <c r="D286" t="str">
        <f t="shared" si="7"/>
        <v>77.7217-78.0288</v>
      </c>
      <c r="E286">
        <v>0</v>
      </c>
    </row>
    <row r="287" spans="2:5" x14ac:dyDescent="0.25">
      <c r="B287">
        <v>255</v>
      </c>
      <c r="C287" s="294">
        <f t="shared" si="6"/>
        <v>78.336000000000013</v>
      </c>
      <c r="D287" t="str">
        <f t="shared" si="7"/>
        <v>78.0289-78.336</v>
      </c>
      <c r="E287">
        <v>0</v>
      </c>
    </row>
    <row r="288" spans="2:5" x14ac:dyDescent="0.25">
      <c r="B288">
        <v>256</v>
      </c>
      <c r="C288" s="294">
        <f t="shared" si="6"/>
        <v>78.643200000000007</v>
      </c>
      <c r="D288" t="str">
        <f t="shared" si="7"/>
        <v>78.3361-78.6432</v>
      </c>
      <c r="E288">
        <v>0</v>
      </c>
    </row>
    <row r="289" spans="2:5" x14ac:dyDescent="0.25">
      <c r="B289">
        <v>257</v>
      </c>
      <c r="C289" s="294">
        <f t="shared" ref="C289:C352" si="8">IF(B289&gt;$C$29,$C$27,C288+$C$30)</f>
        <v>78.950400000000002</v>
      </c>
      <c r="D289" t="str">
        <f t="shared" ref="D289:D352" si="9">C288+0.0001 &amp;"-"&amp;C289</f>
        <v>78.6433-78.9504</v>
      </c>
      <c r="E289">
        <v>0</v>
      </c>
    </row>
    <row r="290" spans="2:5" x14ac:dyDescent="0.25">
      <c r="B290">
        <v>258</v>
      </c>
      <c r="C290" s="294">
        <f t="shared" si="8"/>
        <v>79.257599999999996</v>
      </c>
      <c r="D290" t="str">
        <f t="shared" si="9"/>
        <v>78.9505-79.2576</v>
      </c>
      <c r="E290">
        <v>0</v>
      </c>
    </row>
    <row r="291" spans="2:5" x14ac:dyDescent="0.25">
      <c r="B291">
        <v>259</v>
      </c>
      <c r="C291" s="294">
        <f t="shared" si="8"/>
        <v>79.564799999999991</v>
      </c>
      <c r="D291" t="str">
        <f t="shared" si="9"/>
        <v>79.2577-79.5648</v>
      </c>
      <c r="E291">
        <v>0</v>
      </c>
    </row>
    <row r="292" spans="2:5" x14ac:dyDescent="0.25">
      <c r="B292">
        <v>260</v>
      </c>
      <c r="C292" s="294">
        <f t="shared" si="8"/>
        <v>79.871999999999986</v>
      </c>
      <c r="D292" t="str">
        <f t="shared" si="9"/>
        <v>79.5649-79.872</v>
      </c>
      <c r="E292">
        <v>0</v>
      </c>
    </row>
    <row r="293" spans="2:5" x14ac:dyDescent="0.25">
      <c r="B293">
        <v>261</v>
      </c>
      <c r="C293" s="294">
        <f t="shared" si="8"/>
        <v>80.17919999999998</v>
      </c>
      <c r="D293" t="str">
        <f t="shared" si="9"/>
        <v>79.8721-80.1792</v>
      </c>
      <c r="E293">
        <v>0</v>
      </c>
    </row>
    <row r="294" spans="2:5" x14ac:dyDescent="0.25">
      <c r="B294">
        <v>262</v>
      </c>
      <c r="C294" s="294">
        <f t="shared" si="8"/>
        <v>80.486399999999975</v>
      </c>
      <c r="D294" t="str">
        <f t="shared" si="9"/>
        <v>80.1793-80.4864</v>
      </c>
      <c r="E294">
        <v>0</v>
      </c>
    </row>
    <row r="295" spans="2:5" x14ac:dyDescent="0.25">
      <c r="B295">
        <v>263</v>
      </c>
      <c r="C295" s="294">
        <f t="shared" si="8"/>
        <v>80.793599999999969</v>
      </c>
      <c r="D295" t="str">
        <f t="shared" si="9"/>
        <v>80.4865-80.7936</v>
      </c>
      <c r="E295">
        <v>0</v>
      </c>
    </row>
    <row r="296" spans="2:5" x14ac:dyDescent="0.25">
      <c r="B296">
        <v>264</v>
      </c>
      <c r="C296" s="294">
        <f t="shared" si="8"/>
        <v>81.100799999999964</v>
      </c>
      <c r="D296" t="str">
        <f t="shared" si="9"/>
        <v>80.7937-81.1008</v>
      </c>
      <c r="E296">
        <v>0</v>
      </c>
    </row>
    <row r="297" spans="2:5" x14ac:dyDescent="0.25">
      <c r="B297">
        <v>265</v>
      </c>
      <c r="C297" s="294">
        <f t="shared" si="8"/>
        <v>81.407999999999959</v>
      </c>
      <c r="D297" t="str">
        <f t="shared" si="9"/>
        <v>81.1009-81.408</v>
      </c>
      <c r="E297">
        <v>0</v>
      </c>
    </row>
    <row r="298" spans="2:5" x14ac:dyDescent="0.25">
      <c r="B298">
        <v>266</v>
      </c>
      <c r="C298" s="294">
        <f t="shared" si="8"/>
        <v>81.715199999999953</v>
      </c>
      <c r="D298" t="str">
        <f t="shared" si="9"/>
        <v>81.4081-81.7152</v>
      </c>
      <c r="E298">
        <v>0</v>
      </c>
    </row>
    <row r="299" spans="2:5" x14ac:dyDescent="0.25">
      <c r="B299">
        <v>267</v>
      </c>
      <c r="C299" s="294">
        <f t="shared" si="8"/>
        <v>82.022399999999948</v>
      </c>
      <c r="D299" t="str">
        <f t="shared" si="9"/>
        <v>81.7153-82.0223999999999</v>
      </c>
      <c r="E299">
        <v>0</v>
      </c>
    </row>
    <row r="300" spans="2:5" x14ac:dyDescent="0.25">
      <c r="B300">
        <v>268</v>
      </c>
      <c r="C300" s="294">
        <f t="shared" si="8"/>
        <v>82.329599999999942</v>
      </c>
      <c r="D300" t="str">
        <f t="shared" si="9"/>
        <v>82.0225-82.3295999999999</v>
      </c>
      <c r="E300">
        <v>0</v>
      </c>
    </row>
    <row r="301" spans="2:5" x14ac:dyDescent="0.25">
      <c r="B301">
        <v>269</v>
      </c>
      <c r="C301" s="294">
        <f t="shared" si="8"/>
        <v>82.636799999999937</v>
      </c>
      <c r="D301" t="str">
        <f t="shared" si="9"/>
        <v>82.3296999999999-82.6367999999999</v>
      </c>
      <c r="E301">
        <v>0</v>
      </c>
    </row>
    <row r="302" spans="2:5" x14ac:dyDescent="0.25">
      <c r="B302">
        <v>270</v>
      </c>
      <c r="C302" s="294">
        <f t="shared" si="8"/>
        <v>82.943999999999932</v>
      </c>
      <c r="D302" t="str">
        <f t="shared" si="9"/>
        <v>82.6368999999999-82.9439999999999</v>
      </c>
      <c r="E302">
        <v>0</v>
      </c>
    </row>
    <row r="303" spans="2:5" x14ac:dyDescent="0.25">
      <c r="B303">
        <v>271</v>
      </c>
      <c r="C303" s="294">
        <f t="shared" si="8"/>
        <v>83.251199999999926</v>
      </c>
      <c r="D303" t="str">
        <f t="shared" si="9"/>
        <v>82.9440999999999-83.2511999999999</v>
      </c>
      <c r="E303">
        <v>0</v>
      </c>
    </row>
    <row r="304" spans="2:5" x14ac:dyDescent="0.25">
      <c r="B304">
        <v>272</v>
      </c>
      <c r="C304" s="294">
        <f t="shared" si="8"/>
        <v>83.558399999999921</v>
      </c>
      <c r="D304" t="str">
        <f t="shared" si="9"/>
        <v>83.2512999999999-83.5583999999999</v>
      </c>
      <c r="E304">
        <v>0</v>
      </c>
    </row>
    <row r="305" spans="2:5" x14ac:dyDescent="0.25">
      <c r="B305">
        <v>273</v>
      </c>
      <c r="C305" s="294">
        <f t="shared" si="8"/>
        <v>83.865599999999915</v>
      </c>
      <c r="D305" t="str">
        <f t="shared" si="9"/>
        <v>83.5584999999999-83.8655999999999</v>
      </c>
      <c r="E305">
        <v>0</v>
      </c>
    </row>
    <row r="306" spans="2:5" x14ac:dyDescent="0.25">
      <c r="B306">
        <v>274</v>
      </c>
      <c r="C306" s="294">
        <f t="shared" si="8"/>
        <v>84.17279999999991</v>
      </c>
      <c r="D306" t="str">
        <f t="shared" si="9"/>
        <v>83.8656999999999-84.1727999999999</v>
      </c>
      <c r="E306">
        <v>0</v>
      </c>
    </row>
    <row r="307" spans="2:5" x14ac:dyDescent="0.25">
      <c r="B307">
        <v>275</v>
      </c>
      <c r="C307" s="294">
        <f t="shared" si="8"/>
        <v>84.479999999999905</v>
      </c>
      <c r="D307" t="str">
        <f t="shared" si="9"/>
        <v>84.1728999999999-84.4799999999999</v>
      </c>
      <c r="E307">
        <v>0</v>
      </c>
    </row>
    <row r="308" spans="2:5" x14ac:dyDescent="0.25">
      <c r="B308">
        <v>276</v>
      </c>
      <c r="C308" s="294">
        <f t="shared" si="8"/>
        <v>84.787199999999899</v>
      </c>
      <c r="D308" t="str">
        <f t="shared" si="9"/>
        <v>84.4800999999999-84.7871999999999</v>
      </c>
      <c r="E308">
        <v>0</v>
      </c>
    </row>
    <row r="309" spans="2:5" x14ac:dyDescent="0.25">
      <c r="B309">
        <v>277</v>
      </c>
      <c r="C309" s="294">
        <f t="shared" si="8"/>
        <v>85.094399999999894</v>
      </c>
      <c r="D309" t="str">
        <f t="shared" si="9"/>
        <v>84.7872999999999-85.0943999999999</v>
      </c>
      <c r="E309">
        <v>0</v>
      </c>
    </row>
    <row r="310" spans="2:5" x14ac:dyDescent="0.25">
      <c r="B310">
        <v>278</v>
      </c>
      <c r="C310" s="294">
        <f t="shared" si="8"/>
        <v>85.401599999999888</v>
      </c>
      <c r="D310" t="str">
        <f t="shared" si="9"/>
        <v>85.0944999999999-85.4015999999999</v>
      </c>
      <c r="E310">
        <v>0</v>
      </c>
    </row>
    <row r="311" spans="2:5" x14ac:dyDescent="0.25">
      <c r="B311">
        <v>279</v>
      </c>
      <c r="C311" s="294">
        <f t="shared" si="8"/>
        <v>85.708799999999883</v>
      </c>
      <c r="D311" t="str">
        <f t="shared" si="9"/>
        <v>85.4016999999999-85.7087999999999</v>
      </c>
      <c r="E311">
        <v>0</v>
      </c>
    </row>
    <row r="312" spans="2:5" x14ac:dyDescent="0.25">
      <c r="B312">
        <v>280</v>
      </c>
      <c r="C312" s="294">
        <f t="shared" si="8"/>
        <v>86.015999999999877</v>
      </c>
      <c r="D312" t="str">
        <f t="shared" si="9"/>
        <v>85.7088999999999-86.0159999999999</v>
      </c>
      <c r="E312">
        <v>0</v>
      </c>
    </row>
    <row r="313" spans="2:5" x14ac:dyDescent="0.25">
      <c r="B313">
        <v>281</v>
      </c>
      <c r="C313" s="294">
        <f t="shared" si="8"/>
        <v>86.323199999999872</v>
      </c>
      <c r="D313" t="str">
        <f t="shared" si="9"/>
        <v>86.0160999999999-86.3231999999999</v>
      </c>
      <c r="E313">
        <v>0</v>
      </c>
    </row>
    <row r="314" spans="2:5" x14ac:dyDescent="0.25">
      <c r="B314">
        <v>282</v>
      </c>
      <c r="C314" s="294">
        <f t="shared" si="8"/>
        <v>86.630399999999867</v>
      </c>
      <c r="D314" t="str">
        <f t="shared" si="9"/>
        <v>86.3232999999999-86.6303999999999</v>
      </c>
      <c r="E314">
        <v>0</v>
      </c>
    </row>
    <row r="315" spans="2:5" x14ac:dyDescent="0.25">
      <c r="B315">
        <v>283</v>
      </c>
      <c r="C315" s="294">
        <f t="shared" si="8"/>
        <v>86.937599999999861</v>
      </c>
      <c r="D315" t="str">
        <f t="shared" si="9"/>
        <v>86.6304999999999-86.9375999999999</v>
      </c>
      <c r="E315">
        <v>0</v>
      </c>
    </row>
    <row r="316" spans="2:5" x14ac:dyDescent="0.25">
      <c r="B316">
        <v>284</v>
      </c>
      <c r="C316" s="294">
        <f t="shared" si="8"/>
        <v>87.244799999999856</v>
      </c>
      <c r="D316" t="str">
        <f t="shared" si="9"/>
        <v>86.9376999999999-87.2447999999999</v>
      </c>
      <c r="E316">
        <v>0</v>
      </c>
    </row>
    <row r="317" spans="2:5" x14ac:dyDescent="0.25">
      <c r="B317">
        <v>285</v>
      </c>
      <c r="C317" s="294">
        <f t="shared" si="8"/>
        <v>87.55199999999985</v>
      </c>
      <c r="D317" t="str">
        <f t="shared" si="9"/>
        <v>87.2448999999999-87.5519999999999</v>
      </c>
      <c r="E317">
        <v>0</v>
      </c>
    </row>
    <row r="318" spans="2:5" x14ac:dyDescent="0.25">
      <c r="B318">
        <v>286</v>
      </c>
      <c r="C318" s="294">
        <f t="shared" si="8"/>
        <v>87.859199999999845</v>
      </c>
      <c r="D318" t="str">
        <f t="shared" si="9"/>
        <v>87.5520999999999-87.8591999999998</v>
      </c>
      <c r="E318">
        <v>0</v>
      </c>
    </row>
    <row r="319" spans="2:5" x14ac:dyDescent="0.25">
      <c r="B319">
        <v>287</v>
      </c>
      <c r="C319" s="294">
        <f t="shared" si="8"/>
        <v>88.16639999999984</v>
      </c>
      <c r="D319" t="str">
        <f t="shared" si="9"/>
        <v>87.8592999999998-88.1663999999998</v>
      </c>
      <c r="E319">
        <v>0</v>
      </c>
    </row>
    <row r="320" spans="2:5" x14ac:dyDescent="0.25">
      <c r="B320">
        <v>288</v>
      </c>
      <c r="C320" s="294">
        <f t="shared" si="8"/>
        <v>88.473599999999834</v>
      </c>
      <c r="D320" t="str">
        <f t="shared" si="9"/>
        <v>88.1664999999998-88.4735999999998</v>
      </c>
      <c r="E320">
        <v>0</v>
      </c>
    </row>
    <row r="321" spans="2:5" x14ac:dyDescent="0.25">
      <c r="B321">
        <v>289</v>
      </c>
      <c r="C321" s="294">
        <f t="shared" si="8"/>
        <v>88.780799999999829</v>
      </c>
      <c r="D321" t="str">
        <f t="shared" si="9"/>
        <v>88.4736999999998-88.7807999999998</v>
      </c>
      <c r="E321">
        <v>0</v>
      </c>
    </row>
    <row r="322" spans="2:5" x14ac:dyDescent="0.25">
      <c r="B322">
        <v>290</v>
      </c>
      <c r="C322" s="294">
        <f t="shared" si="8"/>
        <v>89.087999999999823</v>
      </c>
      <c r="D322" t="str">
        <f t="shared" si="9"/>
        <v>88.7808999999998-89.0879999999998</v>
      </c>
      <c r="E322">
        <v>0</v>
      </c>
    </row>
    <row r="323" spans="2:5" x14ac:dyDescent="0.25">
      <c r="B323">
        <v>291</v>
      </c>
      <c r="C323" s="294">
        <f t="shared" si="8"/>
        <v>89.395199999999818</v>
      </c>
      <c r="D323" t="str">
        <f t="shared" si="9"/>
        <v>89.0880999999998-89.3951999999998</v>
      </c>
      <c r="E323">
        <v>0</v>
      </c>
    </row>
    <row r="324" spans="2:5" x14ac:dyDescent="0.25">
      <c r="B324">
        <v>292</v>
      </c>
      <c r="C324" s="294">
        <f t="shared" si="8"/>
        <v>89.702399999999813</v>
      </c>
      <c r="D324" t="str">
        <f t="shared" si="9"/>
        <v>89.3952999999998-89.7023999999998</v>
      </c>
      <c r="E324">
        <v>0</v>
      </c>
    </row>
    <row r="325" spans="2:5" x14ac:dyDescent="0.25">
      <c r="B325">
        <v>293</v>
      </c>
      <c r="C325" s="294">
        <f t="shared" si="8"/>
        <v>90.009599999999807</v>
      </c>
      <c r="D325" t="str">
        <f t="shared" si="9"/>
        <v>89.7024999999998-90.0095999999998</v>
      </c>
      <c r="E325">
        <v>0</v>
      </c>
    </row>
    <row r="326" spans="2:5" x14ac:dyDescent="0.25">
      <c r="B326">
        <v>294</v>
      </c>
      <c r="C326" s="294">
        <f t="shared" si="8"/>
        <v>90.316799999999802</v>
      </c>
      <c r="D326" t="str">
        <f t="shared" si="9"/>
        <v>90.0096999999998-90.3167999999998</v>
      </c>
      <c r="E326">
        <v>0</v>
      </c>
    </row>
    <row r="327" spans="2:5" x14ac:dyDescent="0.25">
      <c r="B327">
        <v>295</v>
      </c>
      <c r="C327" s="294">
        <f t="shared" si="8"/>
        <v>90.623999999999796</v>
      </c>
      <c r="D327" t="str">
        <f t="shared" si="9"/>
        <v>90.3168999999998-90.6239999999998</v>
      </c>
      <c r="E327">
        <v>0</v>
      </c>
    </row>
    <row r="328" spans="2:5" x14ac:dyDescent="0.25">
      <c r="B328">
        <v>296</v>
      </c>
      <c r="C328" s="294">
        <f t="shared" si="8"/>
        <v>90.931199999999791</v>
      </c>
      <c r="D328" t="str">
        <f t="shared" si="9"/>
        <v>90.6240999999998-90.9311999999998</v>
      </c>
      <c r="E328">
        <v>0</v>
      </c>
    </row>
    <row r="329" spans="2:5" x14ac:dyDescent="0.25">
      <c r="B329">
        <v>297</v>
      </c>
      <c r="C329" s="294">
        <f t="shared" si="8"/>
        <v>91.238399999999785</v>
      </c>
      <c r="D329" t="str">
        <f t="shared" si="9"/>
        <v>90.9312999999998-91.2383999999998</v>
      </c>
      <c r="E329">
        <v>0</v>
      </c>
    </row>
    <row r="330" spans="2:5" x14ac:dyDescent="0.25">
      <c r="B330">
        <v>298</v>
      </c>
      <c r="C330" s="294">
        <f t="shared" si="8"/>
        <v>91.54559999999978</v>
      </c>
      <c r="D330" t="str">
        <f t="shared" si="9"/>
        <v>91.2384999999998-91.5455999999998</v>
      </c>
      <c r="E330">
        <v>0</v>
      </c>
    </row>
    <row r="331" spans="2:5" x14ac:dyDescent="0.25">
      <c r="B331">
        <v>299</v>
      </c>
      <c r="C331" s="294">
        <f t="shared" si="8"/>
        <v>91.852799999999775</v>
      </c>
      <c r="D331" t="str">
        <f t="shared" si="9"/>
        <v>91.5456999999998-91.8527999999998</v>
      </c>
      <c r="E331">
        <v>0</v>
      </c>
    </row>
    <row r="332" spans="2:5" x14ac:dyDescent="0.25">
      <c r="B332">
        <v>300</v>
      </c>
      <c r="C332" s="294">
        <f t="shared" si="8"/>
        <v>92.159999999999769</v>
      </c>
      <c r="D332" t="str">
        <f t="shared" si="9"/>
        <v>91.8528999999998-92.1599999999998</v>
      </c>
      <c r="E332">
        <v>0</v>
      </c>
    </row>
    <row r="333" spans="2:5" x14ac:dyDescent="0.25">
      <c r="B333">
        <v>301</v>
      </c>
      <c r="C333" s="294">
        <f t="shared" si="8"/>
        <v>92.467199999999764</v>
      </c>
      <c r="D333" t="str">
        <f t="shared" si="9"/>
        <v>92.1600999999998-92.4671999999998</v>
      </c>
      <c r="E333">
        <v>0</v>
      </c>
    </row>
    <row r="334" spans="2:5" x14ac:dyDescent="0.25">
      <c r="B334">
        <v>302</v>
      </c>
      <c r="C334" s="294">
        <f t="shared" si="8"/>
        <v>92.774399999999758</v>
      </c>
      <c r="D334" t="str">
        <f t="shared" si="9"/>
        <v>92.4672999999998-92.7743999999998</v>
      </c>
      <c r="E334">
        <v>0</v>
      </c>
    </row>
    <row r="335" spans="2:5" x14ac:dyDescent="0.25">
      <c r="B335">
        <v>303</v>
      </c>
      <c r="C335" s="294">
        <f t="shared" si="8"/>
        <v>93.081599999999753</v>
      </c>
      <c r="D335" t="str">
        <f t="shared" si="9"/>
        <v>92.7744999999998-93.0815999999998</v>
      </c>
      <c r="E335">
        <v>0</v>
      </c>
    </row>
    <row r="336" spans="2:5" x14ac:dyDescent="0.25">
      <c r="B336">
        <v>304</v>
      </c>
      <c r="C336" s="294">
        <f t="shared" si="8"/>
        <v>93.388799999999748</v>
      </c>
      <c r="D336" t="str">
        <f t="shared" si="9"/>
        <v>93.0816999999998-93.3887999999997</v>
      </c>
      <c r="E336">
        <v>0</v>
      </c>
    </row>
    <row r="337" spans="2:5" x14ac:dyDescent="0.25">
      <c r="B337">
        <v>305</v>
      </c>
      <c r="C337" s="294">
        <f t="shared" si="8"/>
        <v>93.695999999999742</v>
      </c>
      <c r="D337" t="str">
        <f t="shared" si="9"/>
        <v>93.3888999999998-93.6959999999997</v>
      </c>
      <c r="E337">
        <v>0</v>
      </c>
    </row>
    <row r="338" spans="2:5" x14ac:dyDescent="0.25">
      <c r="B338">
        <v>306</v>
      </c>
      <c r="C338" s="294">
        <f t="shared" si="8"/>
        <v>94.003199999999737</v>
      </c>
      <c r="D338" t="str">
        <f t="shared" si="9"/>
        <v>93.6960999999997-94.0031999999997</v>
      </c>
      <c r="E338">
        <v>0</v>
      </c>
    </row>
    <row r="339" spans="2:5" x14ac:dyDescent="0.25">
      <c r="B339">
        <v>307</v>
      </c>
      <c r="C339" s="294">
        <f t="shared" si="8"/>
        <v>94.310399999999731</v>
      </c>
      <c r="D339" t="str">
        <f t="shared" si="9"/>
        <v>94.0032999999997-94.3103999999997</v>
      </c>
      <c r="E339">
        <v>0</v>
      </c>
    </row>
    <row r="340" spans="2:5" x14ac:dyDescent="0.25">
      <c r="B340">
        <v>308</v>
      </c>
      <c r="C340" s="294">
        <f t="shared" si="8"/>
        <v>94.617599999999726</v>
      </c>
      <c r="D340" t="str">
        <f t="shared" si="9"/>
        <v>94.3104999999997-94.6175999999997</v>
      </c>
      <c r="E340">
        <v>0</v>
      </c>
    </row>
    <row r="341" spans="2:5" x14ac:dyDescent="0.25">
      <c r="B341">
        <v>309</v>
      </c>
      <c r="C341" s="294">
        <f t="shared" si="8"/>
        <v>94.924799999999721</v>
      </c>
      <c r="D341" t="str">
        <f t="shared" si="9"/>
        <v>94.6176999999997-94.9247999999997</v>
      </c>
      <c r="E341">
        <v>0</v>
      </c>
    </row>
    <row r="342" spans="2:5" x14ac:dyDescent="0.25">
      <c r="B342">
        <v>310</v>
      </c>
      <c r="C342" s="294">
        <f t="shared" si="8"/>
        <v>95.231999999999715</v>
      </c>
      <c r="D342" t="str">
        <f t="shared" si="9"/>
        <v>94.9248999999997-95.2319999999997</v>
      </c>
      <c r="E342">
        <v>0</v>
      </c>
    </row>
    <row r="343" spans="2:5" x14ac:dyDescent="0.25">
      <c r="B343">
        <v>311</v>
      </c>
      <c r="C343" s="294">
        <f t="shared" si="8"/>
        <v>95.53919999999971</v>
      </c>
      <c r="D343" t="str">
        <f t="shared" si="9"/>
        <v>95.2320999999997-95.5391999999997</v>
      </c>
      <c r="E343">
        <v>0</v>
      </c>
    </row>
    <row r="344" spans="2:5" x14ac:dyDescent="0.25">
      <c r="B344">
        <v>312</v>
      </c>
      <c r="C344" s="294">
        <f t="shared" si="8"/>
        <v>95.846399999999704</v>
      </c>
      <c r="D344" t="str">
        <f t="shared" si="9"/>
        <v>95.5392999999997-95.8463999999997</v>
      </c>
      <c r="E344">
        <v>0</v>
      </c>
    </row>
    <row r="345" spans="2:5" x14ac:dyDescent="0.25">
      <c r="B345">
        <v>313</v>
      </c>
      <c r="C345" s="294">
        <f t="shared" si="8"/>
        <v>96.153599999999699</v>
      </c>
      <c r="D345" t="str">
        <f t="shared" si="9"/>
        <v>95.8464999999997-96.1535999999997</v>
      </c>
      <c r="E345">
        <v>0</v>
      </c>
    </row>
    <row r="346" spans="2:5" x14ac:dyDescent="0.25">
      <c r="B346">
        <v>314</v>
      </c>
      <c r="C346" s="294">
        <f t="shared" si="8"/>
        <v>96.460799999999693</v>
      </c>
      <c r="D346" t="str">
        <f t="shared" si="9"/>
        <v>96.1536999999997-96.4607999999997</v>
      </c>
      <c r="E346">
        <v>0</v>
      </c>
    </row>
    <row r="347" spans="2:5" x14ac:dyDescent="0.25">
      <c r="B347">
        <v>315</v>
      </c>
      <c r="C347" s="294">
        <f t="shared" si="8"/>
        <v>96.767999999999688</v>
      </c>
      <c r="D347" t="str">
        <f t="shared" si="9"/>
        <v>96.4608999999997-96.7679999999997</v>
      </c>
      <c r="E347">
        <v>0</v>
      </c>
    </row>
    <row r="348" spans="2:5" x14ac:dyDescent="0.25">
      <c r="B348">
        <v>316</v>
      </c>
      <c r="C348" s="294">
        <f t="shared" si="8"/>
        <v>97.075199999999683</v>
      </c>
      <c r="D348" t="str">
        <f t="shared" si="9"/>
        <v>96.7680999999997-97.0751999999997</v>
      </c>
      <c r="E348">
        <v>0</v>
      </c>
    </row>
    <row r="349" spans="2:5" x14ac:dyDescent="0.25">
      <c r="B349">
        <v>317</v>
      </c>
      <c r="C349" s="294">
        <f t="shared" si="8"/>
        <v>97.382399999999677</v>
      </c>
      <c r="D349" t="str">
        <f t="shared" si="9"/>
        <v>97.0752999999997-97.3823999999997</v>
      </c>
      <c r="E349">
        <v>0</v>
      </c>
    </row>
    <row r="350" spans="2:5" x14ac:dyDescent="0.25">
      <c r="B350">
        <v>318</v>
      </c>
      <c r="C350" s="294">
        <f t="shared" si="8"/>
        <v>97.689599999999672</v>
      </c>
      <c r="D350" t="str">
        <f t="shared" si="9"/>
        <v>97.3824999999997-97.6895999999997</v>
      </c>
      <c r="E350">
        <v>0</v>
      </c>
    </row>
    <row r="351" spans="2:5" x14ac:dyDescent="0.25">
      <c r="B351">
        <v>319</v>
      </c>
      <c r="C351" s="294">
        <f t="shared" si="8"/>
        <v>97.996799999999666</v>
      </c>
      <c r="D351" t="str">
        <f t="shared" si="9"/>
        <v>97.6896999999997-97.9967999999997</v>
      </c>
      <c r="E351">
        <v>0</v>
      </c>
    </row>
    <row r="352" spans="2:5" x14ac:dyDescent="0.25">
      <c r="B352">
        <v>320</v>
      </c>
      <c r="C352" s="294">
        <f t="shared" si="8"/>
        <v>98.303999999999661</v>
      </c>
      <c r="D352" t="str">
        <f t="shared" si="9"/>
        <v>97.9968999999997-98.3039999999997</v>
      </c>
      <c r="E352">
        <v>0</v>
      </c>
    </row>
    <row r="353" spans="2:5" x14ac:dyDescent="0.25">
      <c r="B353">
        <v>321</v>
      </c>
      <c r="C353" s="294">
        <f t="shared" ref="C353:C416" si="10">IF(B353&gt;$C$29,$C$27,C352+$C$30)</f>
        <v>98.611199999999656</v>
      </c>
      <c r="D353" t="str">
        <f t="shared" ref="D353:D416" si="11">C352+0.0001 &amp;"-"&amp;C353</f>
        <v>98.3040999999997-98.6111999999997</v>
      </c>
      <c r="E353">
        <v>0</v>
      </c>
    </row>
    <row r="354" spans="2:5" x14ac:dyDescent="0.25">
      <c r="B354">
        <v>322</v>
      </c>
      <c r="C354" s="294">
        <f t="shared" si="10"/>
        <v>98.91839999999965</v>
      </c>
      <c r="D354" t="str">
        <f t="shared" si="11"/>
        <v>98.6112999999997-98.9183999999997</v>
      </c>
      <c r="E354">
        <v>0</v>
      </c>
    </row>
    <row r="355" spans="2:5" x14ac:dyDescent="0.25">
      <c r="B355">
        <v>323</v>
      </c>
      <c r="C355" s="294">
        <f t="shared" si="10"/>
        <v>99.225599999999645</v>
      </c>
      <c r="D355" t="str">
        <f t="shared" si="11"/>
        <v>98.9184999999997-99.2255999999996</v>
      </c>
      <c r="E355">
        <v>0</v>
      </c>
    </row>
    <row r="356" spans="2:5" x14ac:dyDescent="0.25">
      <c r="B356">
        <v>324</v>
      </c>
      <c r="C356" s="294">
        <f t="shared" si="10"/>
        <v>99.532799999999639</v>
      </c>
      <c r="D356" t="str">
        <f t="shared" si="11"/>
        <v>99.2256999999996-99.5327999999996</v>
      </c>
      <c r="E356">
        <v>0</v>
      </c>
    </row>
    <row r="357" spans="2:5" x14ac:dyDescent="0.25">
      <c r="B357">
        <v>325</v>
      </c>
      <c r="C357" s="294">
        <f t="shared" si="10"/>
        <v>99.839999999999634</v>
      </c>
      <c r="D357" t="str">
        <f t="shared" si="11"/>
        <v>99.5328999999996-99.8399999999996</v>
      </c>
      <c r="E357">
        <v>0</v>
      </c>
    </row>
    <row r="358" spans="2:5" x14ac:dyDescent="0.25">
      <c r="B358">
        <v>326</v>
      </c>
      <c r="C358" s="294">
        <f t="shared" si="10"/>
        <v>100.14719999999963</v>
      </c>
      <c r="D358" t="str">
        <f t="shared" si="11"/>
        <v>99.8400999999996-100.1472</v>
      </c>
      <c r="E358">
        <v>0</v>
      </c>
    </row>
    <row r="359" spans="2:5" x14ac:dyDescent="0.25">
      <c r="B359">
        <v>327</v>
      </c>
      <c r="C359" s="294">
        <f t="shared" si="10"/>
        <v>100.45439999999962</v>
      </c>
      <c r="D359" t="str">
        <f t="shared" si="11"/>
        <v>100.1473-100.4544</v>
      </c>
      <c r="E359">
        <v>0</v>
      </c>
    </row>
    <row r="360" spans="2:5" x14ac:dyDescent="0.25">
      <c r="B360">
        <v>328</v>
      </c>
      <c r="C360" s="294">
        <f t="shared" si="10"/>
        <v>100.76159999999962</v>
      </c>
      <c r="D360" t="str">
        <f t="shared" si="11"/>
        <v>100.4545-100.7616</v>
      </c>
      <c r="E360">
        <v>0</v>
      </c>
    </row>
    <row r="361" spans="2:5" x14ac:dyDescent="0.25">
      <c r="B361">
        <v>329</v>
      </c>
      <c r="C361" s="294">
        <f t="shared" si="10"/>
        <v>101.06879999999961</v>
      </c>
      <c r="D361" t="str">
        <f t="shared" si="11"/>
        <v>100.7617-101.0688</v>
      </c>
      <c r="E361">
        <v>0</v>
      </c>
    </row>
    <row r="362" spans="2:5" x14ac:dyDescent="0.25">
      <c r="B362">
        <v>330</v>
      </c>
      <c r="C362" s="294">
        <f t="shared" si="10"/>
        <v>101.37599999999961</v>
      </c>
      <c r="D362" t="str">
        <f t="shared" si="11"/>
        <v>101.0689-101.376</v>
      </c>
      <c r="E362">
        <v>0</v>
      </c>
    </row>
    <row r="363" spans="2:5" x14ac:dyDescent="0.25">
      <c r="B363">
        <v>331</v>
      </c>
      <c r="C363" s="294">
        <f t="shared" si="10"/>
        <v>101.6831999999996</v>
      </c>
      <c r="D363" t="str">
        <f t="shared" si="11"/>
        <v>101.3761-101.6832</v>
      </c>
      <c r="E363">
        <v>0</v>
      </c>
    </row>
    <row r="364" spans="2:5" x14ac:dyDescent="0.25">
      <c r="B364">
        <v>332</v>
      </c>
      <c r="C364" s="294">
        <f t="shared" si="10"/>
        <v>101.9903999999996</v>
      </c>
      <c r="D364" t="str">
        <f t="shared" si="11"/>
        <v>101.6833-101.9904</v>
      </c>
      <c r="E364">
        <v>0</v>
      </c>
    </row>
    <row r="365" spans="2:5" x14ac:dyDescent="0.25">
      <c r="B365">
        <v>333</v>
      </c>
      <c r="C365" s="294">
        <f t="shared" si="10"/>
        <v>102.29759999999959</v>
      </c>
      <c r="D365" t="str">
        <f t="shared" si="11"/>
        <v>101.9905-102.2976</v>
      </c>
      <c r="E365">
        <v>0</v>
      </c>
    </row>
    <row r="366" spans="2:5" x14ac:dyDescent="0.25">
      <c r="B366">
        <v>334</v>
      </c>
      <c r="C366" s="294">
        <f t="shared" si="10"/>
        <v>102.60479999999959</v>
      </c>
      <c r="D366" t="str">
        <f t="shared" si="11"/>
        <v>102.2977-102.6048</v>
      </c>
      <c r="E366">
        <v>0</v>
      </c>
    </row>
    <row r="367" spans="2:5" x14ac:dyDescent="0.25">
      <c r="B367">
        <v>335</v>
      </c>
      <c r="C367" s="294">
        <f t="shared" si="10"/>
        <v>102.91199999999958</v>
      </c>
      <c r="D367" t="str">
        <f t="shared" si="11"/>
        <v>102.6049-102.912</v>
      </c>
      <c r="E367">
        <v>0</v>
      </c>
    </row>
    <row r="368" spans="2:5" x14ac:dyDescent="0.25">
      <c r="B368">
        <v>336</v>
      </c>
      <c r="C368" s="294">
        <f t="shared" si="10"/>
        <v>103.21919999999957</v>
      </c>
      <c r="D368" t="str">
        <f t="shared" si="11"/>
        <v>102.9121-103.2192</v>
      </c>
      <c r="E368">
        <v>0</v>
      </c>
    </row>
    <row r="369" spans="2:5" x14ac:dyDescent="0.25">
      <c r="B369">
        <v>337</v>
      </c>
      <c r="C369" s="294">
        <f t="shared" si="10"/>
        <v>103.52639999999957</v>
      </c>
      <c r="D369" t="str">
        <f t="shared" si="11"/>
        <v>103.2193-103.5264</v>
      </c>
      <c r="E369">
        <v>0</v>
      </c>
    </row>
    <row r="370" spans="2:5" x14ac:dyDescent="0.25">
      <c r="B370">
        <v>338</v>
      </c>
      <c r="C370" s="294">
        <f t="shared" si="10"/>
        <v>103.83359999999956</v>
      </c>
      <c r="D370" t="str">
        <f t="shared" si="11"/>
        <v>103.5265-103.8336</v>
      </c>
      <c r="E370">
        <v>0</v>
      </c>
    </row>
    <row r="371" spans="2:5" x14ac:dyDescent="0.25">
      <c r="B371">
        <v>339</v>
      </c>
      <c r="C371" s="294">
        <f t="shared" si="10"/>
        <v>104.14079999999956</v>
      </c>
      <c r="D371" t="str">
        <f t="shared" si="11"/>
        <v>103.8337-104.1408</v>
      </c>
      <c r="E371">
        <v>0</v>
      </c>
    </row>
    <row r="372" spans="2:5" x14ac:dyDescent="0.25">
      <c r="B372">
        <v>340</v>
      </c>
      <c r="C372" s="294">
        <f t="shared" si="10"/>
        <v>104.44799999999955</v>
      </c>
      <c r="D372" t="str">
        <f t="shared" si="11"/>
        <v>104.1409-104.448</v>
      </c>
      <c r="E372">
        <v>0</v>
      </c>
    </row>
    <row r="373" spans="2:5" x14ac:dyDescent="0.25">
      <c r="B373">
        <v>341</v>
      </c>
      <c r="C373" s="294">
        <f t="shared" si="10"/>
        <v>104.75519999999955</v>
      </c>
      <c r="D373" t="str">
        <f t="shared" si="11"/>
        <v>104.4481-104.7552</v>
      </c>
      <c r="E373">
        <v>0</v>
      </c>
    </row>
    <row r="374" spans="2:5" x14ac:dyDescent="0.25">
      <c r="B374">
        <v>342</v>
      </c>
      <c r="C374" s="294">
        <f t="shared" si="10"/>
        <v>105.06239999999954</v>
      </c>
      <c r="D374" t="str">
        <f t="shared" si="11"/>
        <v>104.7553-105.0624</v>
      </c>
      <c r="E374">
        <v>0</v>
      </c>
    </row>
    <row r="375" spans="2:5" x14ac:dyDescent="0.25">
      <c r="B375">
        <v>343</v>
      </c>
      <c r="C375" s="294">
        <f t="shared" si="10"/>
        <v>105.36959999999954</v>
      </c>
      <c r="D375" t="str">
        <f t="shared" si="11"/>
        <v>105.0625-105.3696</v>
      </c>
      <c r="E375">
        <v>1</v>
      </c>
    </row>
    <row r="376" spans="2:5" x14ac:dyDescent="0.25">
      <c r="B376">
        <v>344</v>
      </c>
      <c r="C376" s="294">
        <f t="shared" si="10"/>
        <v>105.67679999999953</v>
      </c>
      <c r="D376" t="str">
        <f t="shared" si="11"/>
        <v>105.3697-105.6768</v>
      </c>
      <c r="E376">
        <v>0</v>
      </c>
    </row>
    <row r="377" spans="2:5" x14ac:dyDescent="0.25">
      <c r="B377">
        <v>345</v>
      </c>
      <c r="C377" s="294">
        <f t="shared" si="10"/>
        <v>105.98399999999953</v>
      </c>
      <c r="D377" t="str">
        <f t="shared" si="11"/>
        <v>105.6769-105.984</v>
      </c>
      <c r="E377">
        <v>0</v>
      </c>
    </row>
    <row r="378" spans="2:5" x14ac:dyDescent="0.25">
      <c r="B378">
        <v>346</v>
      </c>
      <c r="C378" s="294">
        <f t="shared" si="10"/>
        <v>106.29119999999952</v>
      </c>
      <c r="D378" t="str">
        <f t="shared" si="11"/>
        <v>105.9841-106.2912</v>
      </c>
      <c r="E378">
        <v>0</v>
      </c>
    </row>
    <row r="379" spans="2:5" x14ac:dyDescent="0.25">
      <c r="B379">
        <v>347</v>
      </c>
      <c r="C379" s="294">
        <f t="shared" si="10"/>
        <v>106.59839999999951</v>
      </c>
      <c r="D379" t="str">
        <f t="shared" si="11"/>
        <v>106.2913-106.5984</v>
      </c>
      <c r="E379">
        <v>0</v>
      </c>
    </row>
    <row r="380" spans="2:5" x14ac:dyDescent="0.25">
      <c r="B380">
        <v>348</v>
      </c>
      <c r="C380" s="294">
        <f t="shared" si="10"/>
        <v>106.90559999999951</v>
      </c>
      <c r="D380" t="str">
        <f t="shared" si="11"/>
        <v>106.5985-106.9056</v>
      </c>
      <c r="E380">
        <v>0</v>
      </c>
    </row>
    <row r="381" spans="2:5" x14ac:dyDescent="0.25">
      <c r="B381">
        <v>349</v>
      </c>
      <c r="C381" s="294">
        <f t="shared" si="10"/>
        <v>107.2127999999995</v>
      </c>
      <c r="D381" t="str">
        <f t="shared" si="11"/>
        <v>106.9057-107.2128</v>
      </c>
      <c r="E381">
        <v>0</v>
      </c>
    </row>
    <row r="382" spans="2:5" x14ac:dyDescent="0.25">
      <c r="B382">
        <v>350</v>
      </c>
      <c r="C382" s="294">
        <f t="shared" si="10"/>
        <v>107.5199999999995</v>
      </c>
      <c r="D382" t="str">
        <f t="shared" si="11"/>
        <v>107.2129-107.519999999999</v>
      </c>
      <c r="E382">
        <v>0</v>
      </c>
    </row>
    <row r="383" spans="2:5" x14ac:dyDescent="0.25">
      <c r="B383">
        <v>351</v>
      </c>
      <c r="C383" s="294">
        <f t="shared" si="10"/>
        <v>107.82719999999949</v>
      </c>
      <c r="D383" t="str">
        <f t="shared" si="11"/>
        <v>107.5201-107.827199999999</v>
      </c>
      <c r="E383">
        <v>0</v>
      </c>
    </row>
    <row r="384" spans="2:5" x14ac:dyDescent="0.25">
      <c r="B384">
        <v>352</v>
      </c>
      <c r="C384" s="294">
        <f t="shared" si="10"/>
        <v>108.13439999999949</v>
      </c>
      <c r="D384" t="str">
        <f t="shared" si="11"/>
        <v>107.827299999999-108.134399999999</v>
      </c>
      <c r="E384">
        <v>0</v>
      </c>
    </row>
    <row r="385" spans="2:5" x14ac:dyDescent="0.25">
      <c r="B385">
        <v>353</v>
      </c>
      <c r="C385" s="294">
        <f t="shared" si="10"/>
        <v>108.44159999999948</v>
      </c>
      <c r="D385" t="str">
        <f t="shared" si="11"/>
        <v>108.134499999999-108.441599999999</v>
      </c>
      <c r="E385">
        <v>0</v>
      </c>
    </row>
    <row r="386" spans="2:5" x14ac:dyDescent="0.25">
      <c r="B386">
        <v>354</v>
      </c>
      <c r="C386" s="294">
        <f t="shared" si="10"/>
        <v>108.74879999999948</v>
      </c>
      <c r="D386" t="str">
        <f t="shared" si="11"/>
        <v>108.441699999999-108.748799999999</v>
      </c>
      <c r="E386">
        <v>0</v>
      </c>
    </row>
    <row r="387" spans="2:5" x14ac:dyDescent="0.25">
      <c r="B387">
        <v>355</v>
      </c>
      <c r="C387" s="294">
        <f t="shared" si="10"/>
        <v>109.05599999999947</v>
      </c>
      <c r="D387" t="str">
        <f t="shared" si="11"/>
        <v>108.748899999999-109.055999999999</v>
      </c>
      <c r="E387">
        <v>0</v>
      </c>
    </row>
    <row r="388" spans="2:5" x14ac:dyDescent="0.25">
      <c r="B388">
        <v>356</v>
      </c>
      <c r="C388" s="294">
        <f t="shared" si="10"/>
        <v>109.36319999999947</v>
      </c>
      <c r="D388" t="str">
        <f t="shared" si="11"/>
        <v>109.056099999999-109.363199999999</v>
      </c>
      <c r="E388">
        <v>0</v>
      </c>
    </row>
    <row r="389" spans="2:5" x14ac:dyDescent="0.25">
      <c r="B389">
        <v>357</v>
      </c>
      <c r="C389" s="294">
        <f t="shared" si="10"/>
        <v>109.67039999999946</v>
      </c>
      <c r="D389" t="str">
        <f t="shared" si="11"/>
        <v>109.363299999999-109.670399999999</v>
      </c>
      <c r="E389">
        <v>0</v>
      </c>
    </row>
    <row r="390" spans="2:5" x14ac:dyDescent="0.25">
      <c r="B390">
        <v>358</v>
      </c>
      <c r="C390" s="294">
        <f t="shared" si="10"/>
        <v>109.97759999999946</v>
      </c>
      <c r="D390" t="str">
        <f t="shared" si="11"/>
        <v>109.670499999999-109.977599999999</v>
      </c>
      <c r="E390">
        <v>0</v>
      </c>
    </row>
    <row r="391" spans="2:5" x14ac:dyDescent="0.25">
      <c r="B391">
        <v>359</v>
      </c>
      <c r="C391" s="294">
        <f t="shared" si="10"/>
        <v>110.28479999999945</v>
      </c>
      <c r="D391" t="str">
        <f t="shared" si="11"/>
        <v>109.977699999999-110.284799999999</v>
      </c>
      <c r="E391">
        <v>0</v>
      </c>
    </row>
    <row r="392" spans="2:5" x14ac:dyDescent="0.25">
      <c r="B392">
        <v>360</v>
      </c>
      <c r="C392" s="294">
        <f t="shared" si="10"/>
        <v>110.59199999999944</v>
      </c>
      <c r="D392" t="str">
        <f t="shared" si="11"/>
        <v>110.284899999999-110.591999999999</v>
      </c>
      <c r="E392">
        <v>0</v>
      </c>
    </row>
    <row r="393" spans="2:5" x14ac:dyDescent="0.25">
      <c r="B393">
        <v>361</v>
      </c>
      <c r="C393" s="294">
        <f t="shared" si="10"/>
        <v>110.89919999999944</v>
      </c>
      <c r="D393" t="str">
        <f t="shared" si="11"/>
        <v>110.592099999999-110.899199999999</v>
      </c>
      <c r="E393">
        <v>0</v>
      </c>
    </row>
    <row r="394" spans="2:5" x14ac:dyDescent="0.25">
      <c r="B394">
        <v>362</v>
      </c>
      <c r="C394" s="294">
        <f t="shared" si="10"/>
        <v>111.20639999999943</v>
      </c>
      <c r="D394" t="str">
        <f t="shared" si="11"/>
        <v>110.899299999999-111.206399999999</v>
      </c>
      <c r="E394">
        <v>0</v>
      </c>
    </row>
    <row r="395" spans="2:5" x14ac:dyDescent="0.25">
      <c r="B395">
        <v>363</v>
      </c>
      <c r="C395" s="294">
        <f t="shared" si="10"/>
        <v>111.51359999999943</v>
      </c>
      <c r="D395" t="str">
        <f t="shared" si="11"/>
        <v>111.206499999999-111.513599999999</v>
      </c>
      <c r="E395">
        <v>0</v>
      </c>
    </row>
    <row r="396" spans="2:5" x14ac:dyDescent="0.25">
      <c r="B396">
        <v>364</v>
      </c>
      <c r="C396" s="294">
        <f t="shared" si="10"/>
        <v>111.82079999999942</v>
      </c>
      <c r="D396" t="str">
        <f t="shared" si="11"/>
        <v>111.513699999999-111.820799999999</v>
      </c>
      <c r="E396">
        <v>0</v>
      </c>
    </row>
    <row r="397" spans="2:5" x14ac:dyDescent="0.25">
      <c r="B397">
        <v>365</v>
      </c>
      <c r="C397" s="294">
        <f t="shared" si="10"/>
        <v>112.12799999999942</v>
      </c>
      <c r="D397" t="str">
        <f t="shared" si="11"/>
        <v>111.820899999999-112.127999999999</v>
      </c>
      <c r="E397">
        <v>0</v>
      </c>
    </row>
    <row r="398" spans="2:5" x14ac:dyDescent="0.25">
      <c r="B398">
        <v>366</v>
      </c>
      <c r="C398" s="294">
        <f t="shared" si="10"/>
        <v>112.43519999999941</v>
      </c>
      <c r="D398" t="str">
        <f t="shared" si="11"/>
        <v>112.128099999999-112.435199999999</v>
      </c>
      <c r="E398">
        <v>0</v>
      </c>
    </row>
    <row r="399" spans="2:5" x14ac:dyDescent="0.25">
      <c r="B399">
        <v>367</v>
      </c>
      <c r="C399" s="294">
        <f t="shared" si="10"/>
        <v>112.74239999999941</v>
      </c>
      <c r="D399" t="str">
        <f t="shared" si="11"/>
        <v>112.435299999999-112.742399999999</v>
      </c>
      <c r="E399">
        <v>0</v>
      </c>
    </row>
    <row r="400" spans="2:5" x14ac:dyDescent="0.25">
      <c r="B400">
        <v>368</v>
      </c>
      <c r="C400" s="294">
        <f t="shared" si="10"/>
        <v>113.0495999999994</v>
      </c>
      <c r="D400" t="str">
        <f t="shared" si="11"/>
        <v>112.742499999999-113.049599999999</v>
      </c>
      <c r="E400">
        <v>0</v>
      </c>
    </row>
    <row r="401" spans="2:5" x14ac:dyDescent="0.25">
      <c r="B401">
        <v>369</v>
      </c>
      <c r="C401" s="294">
        <f t="shared" si="10"/>
        <v>113.3567999999994</v>
      </c>
      <c r="D401" t="str">
        <f t="shared" si="11"/>
        <v>113.049699999999-113.356799999999</v>
      </c>
      <c r="E401">
        <v>0</v>
      </c>
    </row>
    <row r="402" spans="2:5" x14ac:dyDescent="0.25">
      <c r="B402">
        <v>370</v>
      </c>
      <c r="C402" s="294">
        <f t="shared" si="10"/>
        <v>113.66399999999939</v>
      </c>
      <c r="D402" t="str">
        <f t="shared" si="11"/>
        <v>113.356899999999-113.663999999999</v>
      </c>
      <c r="E402">
        <v>0</v>
      </c>
    </row>
    <row r="403" spans="2:5" x14ac:dyDescent="0.25">
      <c r="B403">
        <v>371</v>
      </c>
      <c r="C403" s="294">
        <f t="shared" si="10"/>
        <v>113.97119999999938</v>
      </c>
      <c r="D403" t="str">
        <f t="shared" si="11"/>
        <v>113.664099999999-113.971199999999</v>
      </c>
      <c r="E403">
        <v>0</v>
      </c>
    </row>
    <row r="404" spans="2:5" x14ac:dyDescent="0.25">
      <c r="B404">
        <v>372</v>
      </c>
      <c r="C404" s="294">
        <f t="shared" si="10"/>
        <v>114.27839999999938</v>
      </c>
      <c r="D404" t="str">
        <f t="shared" si="11"/>
        <v>113.971299999999-114.278399999999</v>
      </c>
      <c r="E404">
        <v>0</v>
      </c>
    </row>
    <row r="405" spans="2:5" x14ac:dyDescent="0.25">
      <c r="B405">
        <v>373</v>
      </c>
      <c r="C405" s="294">
        <f t="shared" si="10"/>
        <v>114.58559999999937</v>
      </c>
      <c r="D405" t="str">
        <f t="shared" si="11"/>
        <v>114.278499999999-114.585599999999</v>
      </c>
      <c r="E405">
        <v>0</v>
      </c>
    </row>
    <row r="406" spans="2:5" x14ac:dyDescent="0.25">
      <c r="B406">
        <v>374</v>
      </c>
      <c r="C406" s="294">
        <f t="shared" si="10"/>
        <v>114.89279999999937</v>
      </c>
      <c r="D406" t="str">
        <f t="shared" si="11"/>
        <v>114.585699999999-114.892799999999</v>
      </c>
      <c r="E406">
        <v>0</v>
      </c>
    </row>
    <row r="407" spans="2:5" x14ac:dyDescent="0.25">
      <c r="B407">
        <v>375</v>
      </c>
      <c r="C407" s="294">
        <f t="shared" si="10"/>
        <v>115.19999999999936</v>
      </c>
      <c r="D407" t="str">
        <f t="shared" si="11"/>
        <v>114.892899999999-115.199999999999</v>
      </c>
      <c r="E407">
        <v>0</v>
      </c>
    </row>
    <row r="408" spans="2:5" x14ac:dyDescent="0.25">
      <c r="B408">
        <v>376</v>
      </c>
      <c r="C408" s="294">
        <f t="shared" si="10"/>
        <v>115.50719999999936</v>
      </c>
      <c r="D408" t="str">
        <f t="shared" si="11"/>
        <v>115.200099999999-115.507199999999</v>
      </c>
      <c r="E408">
        <v>0</v>
      </c>
    </row>
    <row r="409" spans="2:5" x14ac:dyDescent="0.25">
      <c r="B409">
        <v>377</v>
      </c>
      <c r="C409" s="294">
        <f t="shared" si="10"/>
        <v>115.81439999999935</v>
      </c>
      <c r="D409" t="str">
        <f t="shared" si="11"/>
        <v>115.507299999999-115.814399999999</v>
      </c>
      <c r="E409">
        <v>0</v>
      </c>
    </row>
    <row r="410" spans="2:5" x14ac:dyDescent="0.25">
      <c r="B410">
        <v>378</v>
      </c>
      <c r="C410" s="294">
        <f t="shared" si="10"/>
        <v>116.12159999999935</v>
      </c>
      <c r="D410" t="str">
        <f t="shared" si="11"/>
        <v>115.814499999999-116.121599999999</v>
      </c>
      <c r="E410">
        <v>0</v>
      </c>
    </row>
    <row r="411" spans="2:5" x14ac:dyDescent="0.25">
      <c r="B411">
        <v>379</v>
      </c>
      <c r="C411" s="294">
        <f t="shared" si="10"/>
        <v>116.42879999999934</v>
      </c>
      <c r="D411" t="str">
        <f t="shared" si="11"/>
        <v>116.121699999999-116.428799999999</v>
      </c>
      <c r="E411">
        <v>0</v>
      </c>
    </row>
    <row r="412" spans="2:5" x14ac:dyDescent="0.25">
      <c r="B412">
        <v>380</v>
      </c>
      <c r="C412" s="294">
        <f t="shared" si="10"/>
        <v>116.73599999999934</v>
      </c>
      <c r="D412" t="str">
        <f t="shared" si="11"/>
        <v>116.428899999999-116.735999999999</v>
      </c>
      <c r="E412">
        <v>0</v>
      </c>
    </row>
    <row r="413" spans="2:5" x14ac:dyDescent="0.25">
      <c r="B413">
        <v>381</v>
      </c>
      <c r="C413" s="294">
        <f t="shared" si="10"/>
        <v>117.04319999999933</v>
      </c>
      <c r="D413" t="str">
        <f t="shared" si="11"/>
        <v>116.736099999999-117.043199999999</v>
      </c>
      <c r="E413">
        <v>0</v>
      </c>
    </row>
    <row r="414" spans="2:5" x14ac:dyDescent="0.25">
      <c r="B414">
        <v>382</v>
      </c>
      <c r="C414" s="294">
        <f t="shared" si="10"/>
        <v>117.35039999999933</v>
      </c>
      <c r="D414" t="str">
        <f t="shared" si="11"/>
        <v>117.043299999999-117.350399999999</v>
      </c>
      <c r="E414">
        <v>0</v>
      </c>
    </row>
    <row r="415" spans="2:5" x14ac:dyDescent="0.25">
      <c r="B415">
        <v>383</v>
      </c>
      <c r="C415" s="294">
        <f t="shared" si="10"/>
        <v>117.65759999999932</v>
      </c>
      <c r="D415" t="str">
        <f t="shared" si="11"/>
        <v>117.350499999999-117.657599999999</v>
      </c>
      <c r="E415">
        <v>0</v>
      </c>
    </row>
    <row r="416" spans="2:5" x14ac:dyDescent="0.25">
      <c r="B416">
        <v>384</v>
      </c>
      <c r="C416" s="294">
        <f t="shared" si="10"/>
        <v>117.96479999999931</v>
      </c>
      <c r="D416" t="str">
        <f t="shared" si="11"/>
        <v>117.657699999999-117.964799999999</v>
      </c>
      <c r="E416">
        <v>0</v>
      </c>
    </row>
    <row r="417" spans="2:5" x14ac:dyDescent="0.25">
      <c r="B417">
        <v>385</v>
      </c>
      <c r="C417" s="294">
        <f t="shared" ref="C417:C480" si="12">IF(B417&gt;$C$29,$C$27,C416+$C$30)</f>
        <v>118.27199999999931</v>
      </c>
      <c r="D417" t="str">
        <f t="shared" ref="D417:D480" si="13">C416+0.0001 &amp;"-"&amp;C417</f>
        <v>117.964899999999-118.271999999999</v>
      </c>
      <c r="E417">
        <v>0</v>
      </c>
    </row>
    <row r="418" spans="2:5" x14ac:dyDescent="0.25">
      <c r="B418">
        <v>386</v>
      </c>
      <c r="C418" s="294">
        <f t="shared" si="12"/>
        <v>118.5791999999993</v>
      </c>
      <c r="D418" t="str">
        <f t="shared" si="13"/>
        <v>118.272099999999-118.579199999999</v>
      </c>
      <c r="E418">
        <v>0</v>
      </c>
    </row>
    <row r="419" spans="2:5" x14ac:dyDescent="0.25">
      <c r="B419">
        <v>387</v>
      </c>
      <c r="C419" s="294">
        <f t="shared" si="12"/>
        <v>118.8863999999993</v>
      </c>
      <c r="D419" t="str">
        <f t="shared" si="13"/>
        <v>118.579299999999-118.886399999999</v>
      </c>
      <c r="E419">
        <v>0</v>
      </c>
    </row>
    <row r="420" spans="2:5" x14ac:dyDescent="0.25">
      <c r="B420">
        <v>388</v>
      </c>
      <c r="C420" s="294">
        <f t="shared" si="12"/>
        <v>119.19359999999929</v>
      </c>
      <c r="D420" t="str">
        <f t="shared" si="13"/>
        <v>118.886499999999-119.193599999999</v>
      </c>
      <c r="E420">
        <v>0</v>
      </c>
    </row>
    <row r="421" spans="2:5" x14ac:dyDescent="0.25">
      <c r="B421">
        <v>389</v>
      </c>
      <c r="C421" s="294">
        <f t="shared" si="12"/>
        <v>119.50079999999929</v>
      </c>
      <c r="D421" t="str">
        <f t="shared" si="13"/>
        <v>119.193699999999-119.500799999999</v>
      </c>
      <c r="E421">
        <v>0</v>
      </c>
    </row>
    <row r="422" spans="2:5" x14ac:dyDescent="0.25">
      <c r="B422">
        <v>390</v>
      </c>
      <c r="C422" s="294">
        <f t="shared" si="12"/>
        <v>119.80799999999928</v>
      </c>
      <c r="D422" t="str">
        <f t="shared" si="13"/>
        <v>119.500899999999-119.807999999999</v>
      </c>
      <c r="E422">
        <v>0</v>
      </c>
    </row>
    <row r="423" spans="2:5" x14ac:dyDescent="0.25">
      <c r="B423">
        <v>391</v>
      </c>
      <c r="C423" s="294">
        <f t="shared" si="12"/>
        <v>120.11519999999928</v>
      </c>
      <c r="D423" t="str">
        <f t="shared" si="13"/>
        <v>119.808099999999-120.115199999999</v>
      </c>
      <c r="E423">
        <v>0</v>
      </c>
    </row>
    <row r="424" spans="2:5" x14ac:dyDescent="0.25">
      <c r="B424">
        <v>392</v>
      </c>
      <c r="C424" s="294">
        <f t="shared" si="12"/>
        <v>120.42239999999927</v>
      </c>
      <c r="D424" t="str">
        <f t="shared" si="13"/>
        <v>120.115299999999-120.422399999999</v>
      </c>
      <c r="E424">
        <v>0</v>
      </c>
    </row>
    <row r="425" spans="2:5" x14ac:dyDescent="0.25">
      <c r="B425">
        <v>393</v>
      </c>
      <c r="C425" s="294">
        <f t="shared" si="12"/>
        <v>120.72959999999927</v>
      </c>
      <c r="D425" t="str">
        <f t="shared" si="13"/>
        <v>120.422499999999-120.729599999999</v>
      </c>
      <c r="E425">
        <v>0</v>
      </c>
    </row>
    <row r="426" spans="2:5" x14ac:dyDescent="0.25">
      <c r="B426">
        <v>394</v>
      </c>
      <c r="C426" s="294">
        <f t="shared" si="12"/>
        <v>121.03679999999926</v>
      </c>
      <c r="D426" t="str">
        <f t="shared" si="13"/>
        <v>120.729699999999-121.036799999999</v>
      </c>
      <c r="E426">
        <v>0</v>
      </c>
    </row>
    <row r="427" spans="2:5" x14ac:dyDescent="0.25">
      <c r="B427">
        <v>395</v>
      </c>
      <c r="C427" s="294">
        <f t="shared" si="12"/>
        <v>121.34399999999926</v>
      </c>
      <c r="D427" t="str">
        <f t="shared" si="13"/>
        <v>121.036899999999-121.343999999999</v>
      </c>
      <c r="E427">
        <v>0</v>
      </c>
    </row>
    <row r="428" spans="2:5" x14ac:dyDescent="0.25">
      <c r="B428">
        <v>396</v>
      </c>
      <c r="C428" s="294">
        <f t="shared" si="12"/>
        <v>121.65119999999925</v>
      </c>
      <c r="D428" t="str">
        <f t="shared" si="13"/>
        <v>121.344099999999-121.651199999999</v>
      </c>
      <c r="E428">
        <v>0</v>
      </c>
    </row>
    <row r="429" spans="2:5" x14ac:dyDescent="0.25">
      <c r="B429">
        <v>397</v>
      </c>
      <c r="C429" s="294">
        <f t="shared" si="12"/>
        <v>121.95839999999924</v>
      </c>
      <c r="D429" t="str">
        <f t="shared" si="13"/>
        <v>121.651299999999-121.958399999999</v>
      </c>
      <c r="E429">
        <v>0</v>
      </c>
    </row>
    <row r="430" spans="2:5" x14ac:dyDescent="0.25">
      <c r="B430">
        <v>398</v>
      </c>
      <c r="C430" s="294">
        <f t="shared" si="12"/>
        <v>122.26559999999924</v>
      </c>
      <c r="D430" t="str">
        <f t="shared" si="13"/>
        <v>121.958499999999-122.265599999999</v>
      </c>
      <c r="E430">
        <v>0</v>
      </c>
    </row>
    <row r="431" spans="2:5" x14ac:dyDescent="0.25">
      <c r="B431">
        <v>399</v>
      </c>
      <c r="C431" s="294">
        <f t="shared" si="12"/>
        <v>122.57279999999923</v>
      </c>
      <c r="D431" t="str">
        <f t="shared" si="13"/>
        <v>122.265699999999-122.572799999999</v>
      </c>
      <c r="E431">
        <v>0</v>
      </c>
    </row>
    <row r="432" spans="2:5" x14ac:dyDescent="0.25">
      <c r="B432">
        <v>400</v>
      </c>
      <c r="C432" s="294">
        <f t="shared" si="12"/>
        <v>122.87999999999923</v>
      </c>
      <c r="D432" t="str">
        <f t="shared" si="13"/>
        <v>122.572899999999-122.879999999999</v>
      </c>
      <c r="E432">
        <v>0</v>
      </c>
    </row>
    <row r="433" spans="2:5" x14ac:dyDescent="0.25">
      <c r="B433">
        <v>401</v>
      </c>
      <c r="C433" s="294">
        <f t="shared" si="12"/>
        <v>123.18719999999922</v>
      </c>
      <c r="D433" t="str">
        <f t="shared" si="13"/>
        <v>122.880099999999-123.187199999999</v>
      </c>
      <c r="E433">
        <v>0</v>
      </c>
    </row>
    <row r="434" spans="2:5" x14ac:dyDescent="0.25">
      <c r="B434">
        <v>402</v>
      </c>
      <c r="C434" s="294">
        <f t="shared" si="12"/>
        <v>123.49439999999922</v>
      </c>
      <c r="D434" t="str">
        <f t="shared" si="13"/>
        <v>123.187299999999-123.494399999999</v>
      </c>
      <c r="E434">
        <v>0</v>
      </c>
    </row>
    <row r="435" spans="2:5" x14ac:dyDescent="0.25">
      <c r="B435">
        <v>403</v>
      </c>
      <c r="C435" s="294">
        <f t="shared" si="12"/>
        <v>123.80159999999921</v>
      </c>
      <c r="D435" t="str">
        <f t="shared" si="13"/>
        <v>123.494499999999-123.801599999999</v>
      </c>
      <c r="E435">
        <v>0</v>
      </c>
    </row>
    <row r="436" spans="2:5" x14ac:dyDescent="0.25">
      <c r="B436">
        <v>404</v>
      </c>
      <c r="C436" s="294">
        <f t="shared" si="12"/>
        <v>124.10879999999921</v>
      </c>
      <c r="D436" t="str">
        <f t="shared" si="13"/>
        <v>123.801699999999-124.108799999999</v>
      </c>
      <c r="E436">
        <v>0</v>
      </c>
    </row>
    <row r="437" spans="2:5" x14ac:dyDescent="0.25">
      <c r="B437">
        <v>405</v>
      </c>
      <c r="C437" s="294">
        <f t="shared" si="12"/>
        <v>124.4159999999992</v>
      </c>
      <c r="D437" t="str">
        <f t="shared" si="13"/>
        <v>124.108899999999-124.415999999999</v>
      </c>
      <c r="E437">
        <v>0</v>
      </c>
    </row>
    <row r="438" spans="2:5" x14ac:dyDescent="0.25">
      <c r="B438">
        <v>406</v>
      </c>
      <c r="C438" s="294">
        <f t="shared" si="12"/>
        <v>124.7231999999992</v>
      </c>
      <c r="D438" t="str">
        <f t="shared" si="13"/>
        <v>124.416099999999-124.723199999999</v>
      </c>
      <c r="E438">
        <v>0</v>
      </c>
    </row>
    <row r="439" spans="2:5" x14ac:dyDescent="0.25">
      <c r="B439">
        <v>407</v>
      </c>
      <c r="C439" s="294">
        <f t="shared" si="12"/>
        <v>125.03039999999919</v>
      </c>
      <c r="D439" t="str">
        <f t="shared" si="13"/>
        <v>124.723299999999-125.030399999999</v>
      </c>
      <c r="E439">
        <v>0</v>
      </c>
    </row>
    <row r="440" spans="2:5" x14ac:dyDescent="0.25">
      <c r="B440">
        <v>408</v>
      </c>
      <c r="C440" s="294">
        <f t="shared" si="12"/>
        <v>125.33759999999918</v>
      </c>
      <c r="D440" t="str">
        <f t="shared" si="13"/>
        <v>125.030499999999-125.337599999999</v>
      </c>
      <c r="E440">
        <v>0</v>
      </c>
    </row>
    <row r="441" spans="2:5" x14ac:dyDescent="0.25">
      <c r="B441">
        <v>409</v>
      </c>
      <c r="C441" s="294">
        <f t="shared" si="12"/>
        <v>125.64479999999918</v>
      </c>
      <c r="D441" t="str">
        <f t="shared" si="13"/>
        <v>125.337699999999-125.644799999999</v>
      </c>
      <c r="E441">
        <v>0</v>
      </c>
    </row>
    <row r="442" spans="2:5" x14ac:dyDescent="0.25">
      <c r="B442">
        <v>410</v>
      </c>
      <c r="C442" s="294">
        <f t="shared" si="12"/>
        <v>125.95199999999917</v>
      </c>
      <c r="D442" t="str">
        <f t="shared" si="13"/>
        <v>125.644899999999-125.951999999999</v>
      </c>
      <c r="E442">
        <v>0</v>
      </c>
    </row>
    <row r="443" spans="2:5" x14ac:dyDescent="0.25">
      <c r="B443">
        <v>411</v>
      </c>
      <c r="C443" s="294">
        <f t="shared" si="12"/>
        <v>126.25919999999917</v>
      </c>
      <c r="D443" t="str">
        <f t="shared" si="13"/>
        <v>125.952099999999-126.259199999999</v>
      </c>
      <c r="E443">
        <v>0</v>
      </c>
    </row>
    <row r="444" spans="2:5" x14ac:dyDescent="0.25">
      <c r="B444">
        <v>412</v>
      </c>
      <c r="C444" s="294">
        <f t="shared" si="12"/>
        <v>126.56639999999916</v>
      </c>
      <c r="D444" t="str">
        <f t="shared" si="13"/>
        <v>126.259299999999-126.566399999999</v>
      </c>
      <c r="E444">
        <v>0</v>
      </c>
    </row>
    <row r="445" spans="2:5" x14ac:dyDescent="0.25">
      <c r="B445">
        <v>413</v>
      </c>
      <c r="C445" s="294">
        <f t="shared" si="12"/>
        <v>126.87359999999916</v>
      </c>
      <c r="D445" t="str">
        <f t="shared" si="13"/>
        <v>126.566499999999-126.873599999999</v>
      </c>
      <c r="E445">
        <v>0</v>
      </c>
    </row>
    <row r="446" spans="2:5" x14ac:dyDescent="0.25">
      <c r="B446">
        <v>414</v>
      </c>
      <c r="C446" s="294">
        <f t="shared" si="12"/>
        <v>127.18079999999915</v>
      </c>
      <c r="D446" t="str">
        <f t="shared" si="13"/>
        <v>126.873699999999-127.180799999999</v>
      </c>
      <c r="E446">
        <v>0</v>
      </c>
    </row>
    <row r="447" spans="2:5" x14ac:dyDescent="0.25">
      <c r="B447">
        <v>415</v>
      </c>
      <c r="C447" s="294">
        <f t="shared" si="12"/>
        <v>127.48799999999915</v>
      </c>
      <c r="D447" t="str">
        <f t="shared" si="13"/>
        <v>127.180899999999-127.487999999999</v>
      </c>
      <c r="E447">
        <v>0</v>
      </c>
    </row>
    <row r="448" spans="2:5" x14ac:dyDescent="0.25">
      <c r="B448">
        <v>416</v>
      </c>
      <c r="C448" s="294">
        <f t="shared" si="12"/>
        <v>127.79519999999914</v>
      </c>
      <c r="D448" t="str">
        <f t="shared" si="13"/>
        <v>127.488099999999-127.795199999999</v>
      </c>
      <c r="E448">
        <v>0</v>
      </c>
    </row>
    <row r="449" spans="2:5" x14ac:dyDescent="0.25">
      <c r="B449">
        <v>417</v>
      </c>
      <c r="C449" s="294">
        <f t="shared" si="12"/>
        <v>128.10239999999914</v>
      </c>
      <c r="D449" t="str">
        <f t="shared" si="13"/>
        <v>127.795299999999-128.102399999999</v>
      </c>
      <c r="E449">
        <v>0</v>
      </c>
    </row>
    <row r="450" spans="2:5" x14ac:dyDescent="0.25">
      <c r="B450">
        <v>418</v>
      </c>
      <c r="C450" s="294">
        <f t="shared" si="12"/>
        <v>128.40959999999913</v>
      </c>
      <c r="D450" t="str">
        <f t="shared" si="13"/>
        <v>128.102499999999-128.409599999999</v>
      </c>
      <c r="E450">
        <v>0</v>
      </c>
    </row>
    <row r="451" spans="2:5" x14ac:dyDescent="0.25">
      <c r="B451">
        <v>419</v>
      </c>
      <c r="C451" s="294">
        <f t="shared" si="12"/>
        <v>128.71679999999913</v>
      </c>
      <c r="D451" t="str">
        <f t="shared" si="13"/>
        <v>128.409699999999-128.716799999999</v>
      </c>
      <c r="E451">
        <v>0</v>
      </c>
    </row>
    <row r="452" spans="2:5" x14ac:dyDescent="0.25">
      <c r="B452">
        <v>420</v>
      </c>
      <c r="C452" s="294">
        <f t="shared" si="12"/>
        <v>129.02399999999912</v>
      </c>
      <c r="D452" t="str">
        <f t="shared" si="13"/>
        <v>128.716899999999-129.023999999999</v>
      </c>
      <c r="E452">
        <v>0</v>
      </c>
    </row>
    <row r="453" spans="2:5" x14ac:dyDescent="0.25">
      <c r="B453">
        <v>421</v>
      </c>
      <c r="C453" s="294">
        <f t="shared" si="12"/>
        <v>129.33119999999911</v>
      </c>
      <c r="D453" t="str">
        <f t="shared" si="13"/>
        <v>129.024099999999-129.331199999999</v>
      </c>
      <c r="E453">
        <v>0</v>
      </c>
    </row>
    <row r="454" spans="2:5" x14ac:dyDescent="0.25">
      <c r="B454">
        <v>422</v>
      </c>
      <c r="C454" s="294">
        <f t="shared" si="12"/>
        <v>129.63839999999911</v>
      </c>
      <c r="D454" t="str">
        <f t="shared" si="13"/>
        <v>129.331299999999-129.638399999999</v>
      </c>
      <c r="E454">
        <v>0</v>
      </c>
    </row>
    <row r="455" spans="2:5" x14ac:dyDescent="0.25">
      <c r="B455">
        <v>423</v>
      </c>
      <c r="C455" s="294">
        <f t="shared" si="12"/>
        <v>129.9455999999991</v>
      </c>
      <c r="D455" t="str">
        <f t="shared" si="13"/>
        <v>129.638499999999-129.945599999999</v>
      </c>
      <c r="E455">
        <v>0</v>
      </c>
    </row>
    <row r="456" spans="2:5" x14ac:dyDescent="0.25">
      <c r="B456">
        <v>424</v>
      </c>
      <c r="C456" s="294">
        <f t="shared" si="12"/>
        <v>130.2527999999991</v>
      </c>
      <c r="D456" t="str">
        <f t="shared" si="13"/>
        <v>129.945699999999-130.252799999999</v>
      </c>
      <c r="E456">
        <v>0</v>
      </c>
    </row>
    <row r="457" spans="2:5" x14ac:dyDescent="0.25">
      <c r="B457">
        <v>425</v>
      </c>
      <c r="C457" s="294">
        <f t="shared" si="12"/>
        <v>130.55999999999909</v>
      </c>
      <c r="D457" t="str">
        <f t="shared" si="13"/>
        <v>130.252899999999-130.559999999999</v>
      </c>
      <c r="E457">
        <v>0</v>
      </c>
    </row>
    <row r="458" spans="2:5" x14ac:dyDescent="0.25">
      <c r="B458">
        <v>426</v>
      </c>
      <c r="C458" s="294">
        <f t="shared" si="12"/>
        <v>130.86719999999909</v>
      </c>
      <c r="D458" t="str">
        <f t="shared" si="13"/>
        <v>130.560099999999-130.867199999999</v>
      </c>
      <c r="E458">
        <v>0</v>
      </c>
    </row>
    <row r="459" spans="2:5" x14ac:dyDescent="0.25">
      <c r="B459">
        <v>427</v>
      </c>
      <c r="C459" s="294">
        <f t="shared" si="12"/>
        <v>131.17439999999908</v>
      </c>
      <c r="D459" t="str">
        <f t="shared" si="13"/>
        <v>130.867299999999-131.174399999999</v>
      </c>
      <c r="E459">
        <v>0</v>
      </c>
    </row>
    <row r="460" spans="2:5" x14ac:dyDescent="0.25">
      <c r="B460">
        <v>428</v>
      </c>
      <c r="C460" s="294">
        <f t="shared" si="12"/>
        <v>131.48159999999908</v>
      </c>
      <c r="D460" t="str">
        <f t="shared" si="13"/>
        <v>131.174499999999-131.481599999999</v>
      </c>
      <c r="E460">
        <v>0</v>
      </c>
    </row>
    <row r="461" spans="2:5" x14ac:dyDescent="0.25">
      <c r="B461">
        <v>429</v>
      </c>
      <c r="C461" s="294">
        <f t="shared" si="12"/>
        <v>131.78879999999907</v>
      </c>
      <c r="D461" t="str">
        <f t="shared" si="13"/>
        <v>131.481699999999-131.788799999999</v>
      </c>
      <c r="E461">
        <v>0</v>
      </c>
    </row>
    <row r="462" spans="2:5" x14ac:dyDescent="0.25">
      <c r="B462">
        <v>430</v>
      </c>
      <c r="C462" s="294">
        <f t="shared" si="12"/>
        <v>132.09599999999907</v>
      </c>
      <c r="D462" t="str">
        <f t="shared" si="13"/>
        <v>131.788899999999-132.095999999999</v>
      </c>
      <c r="E462">
        <v>0</v>
      </c>
    </row>
    <row r="463" spans="2:5" x14ac:dyDescent="0.25">
      <c r="B463">
        <v>431</v>
      </c>
      <c r="C463" s="294">
        <f t="shared" si="12"/>
        <v>132.40319999999906</v>
      </c>
      <c r="D463" t="str">
        <f t="shared" si="13"/>
        <v>132.096099999999-132.403199999999</v>
      </c>
      <c r="E463">
        <v>0</v>
      </c>
    </row>
    <row r="464" spans="2:5" x14ac:dyDescent="0.25">
      <c r="B464">
        <v>432</v>
      </c>
      <c r="C464" s="294">
        <f t="shared" si="12"/>
        <v>132.71039999999905</v>
      </c>
      <c r="D464" t="str">
        <f t="shared" si="13"/>
        <v>132.403299999999-132.710399999999</v>
      </c>
      <c r="E464">
        <v>0</v>
      </c>
    </row>
    <row r="465" spans="2:5" x14ac:dyDescent="0.25">
      <c r="B465">
        <v>433</v>
      </c>
      <c r="C465" s="294">
        <f t="shared" si="12"/>
        <v>133.01759999999905</v>
      </c>
      <c r="D465" t="str">
        <f t="shared" si="13"/>
        <v>132.710499999999-133.017599999999</v>
      </c>
      <c r="E465">
        <v>0</v>
      </c>
    </row>
    <row r="466" spans="2:5" x14ac:dyDescent="0.25">
      <c r="B466">
        <v>434</v>
      </c>
      <c r="C466" s="294">
        <f t="shared" si="12"/>
        <v>133.32479999999904</v>
      </c>
      <c r="D466" t="str">
        <f t="shared" si="13"/>
        <v>133.017699999999-133.324799999999</v>
      </c>
      <c r="E466">
        <v>0</v>
      </c>
    </row>
    <row r="467" spans="2:5" x14ac:dyDescent="0.25">
      <c r="B467">
        <v>435</v>
      </c>
      <c r="C467" s="294">
        <f t="shared" si="12"/>
        <v>133.63199999999904</v>
      </c>
      <c r="D467" t="str">
        <f t="shared" si="13"/>
        <v>133.324899999999-133.631999999999</v>
      </c>
      <c r="E467">
        <v>0</v>
      </c>
    </row>
    <row r="468" spans="2:5" x14ac:dyDescent="0.25">
      <c r="B468">
        <v>436</v>
      </c>
      <c r="C468" s="294">
        <f t="shared" si="12"/>
        <v>133.93919999999903</v>
      </c>
      <c r="D468" t="str">
        <f t="shared" si="13"/>
        <v>133.632099999999-133.939199999999</v>
      </c>
      <c r="E468">
        <v>0</v>
      </c>
    </row>
    <row r="469" spans="2:5" x14ac:dyDescent="0.25">
      <c r="B469">
        <v>437</v>
      </c>
      <c r="C469" s="294">
        <f t="shared" si="12"/>
        <v>134.24639999999903</v>
      </c>
      <c r="D469" t="str">
        <f t="shared" si="13"/>
        <v>133.939299999999-134.246399999999</v>
      </c>
      <c r="E469">
        <v>0</v>
      </c>
    </row>
    <row r="470" spans="2:5" x14ac:dyDescent="0.25">
      <c r="B470">
        <v>438</v>
      </c>
      <c r="C470" s="294">
        <f t="shared" si="12"/>
        <v>134.55359999999902</v>
      </c>
      <c r="D470" t="str">
        <f t="shared" si="13"/>
        <v>134.246499999999-134.553599999999</v>
      </c>
      <c r="E470">
        <v>0</v>
      </c>
    </row>
    <row r="471" spans="2:5" x14ac:dyDescent="0.25">
      <c r="B471">
        <v>439</v>
      </c>
      <c r="C471" s="294">
        <f t="shared" si="12"/>
        <v>134.86079999999902</v>
      </c>
      <c r="D471" t="str">
        <f t="shared" si="13"/>
        <v>134.553699999999-134.860799999999</v>
      </c>
      <c r="E471">
        <v>0</v>
      </c>
    </row>
    <row r="472" spans="2:5" x14ac:dyDescent="0.25">
      <c r="B472">
        <v>440</v>
      </c>
      <c r="C472" s="294">
        <f t="shared" si="12"/>
        <v>135.16799999999901</v>
      </c>
      <c r="D472" t="str">
        <f t="shared" si="13"/>
        <v>134.860899999999-135.167999999999</v>
      </c>
      <c r="E472">
        <v>0</v>
      </c>
    </row>
    <row r="473" spans="2:5" x14ac:dyDescent="0.25">
      <c r="B473">
        <v>441</v>
      </c>
      <c r="C473" s="294">
        <f t="shared" si="12"/>
        <v>135.47519999999901</v>
      </c>
      <c r="D473" t="str">
        <f t="shared" si="13"/>
        <v>135.168099999999-135.475199999999</v>
      </c>
      <c r="E473">
        <v>0</v>
      </c>
    </row>
    <row r="474" spans="2:5" x14ac:dyDescent="0.25">
      <c r="B474">
        <v>442</v>
      </c>
      <c r="C474" s="294">
        <f t="shared" si="12"/>
        <v>135.782399999999</v>
      </c>
      <c r="D474" t="str">
        <f t="shared" si="13"/>
        <v>135.475299999999-135.782399999999</v>
      </c>
      <c r="E474">
        <v>0</v>
      </c>
    </row>
    <row r="475" spans="2:5" x14ac:dyDescent="0.25">
      <c r="B475">
        <v>443</v>
      </c>
      <c r="C475" s="294">
        <f t="shared" si="12"/>
        <v>136.089599999999</v>
      </c>
      <c r="D475" t="str">
        <f t="shared" si="13"/>
        <v>135.782499999999-136.089599999999</v>
      </c>
      <c r="E475">
        <v>0</v>
      </c>
    </row>
    <row r="476" spans="2:5" x14ac:dyDescent="0.25">
      <c r="B476">
        <v>444</v>
      </c>
      <c r="C476" s="294">
        <f t="shared" si="12"/>
        <v>136.39679999999899</v>
      </c>
      <c r="D476" t="str">
        <f t="shared" si="13"/>
        <v>136.089699999999-136.396799999999</v>
      </c>
      <c r="E476">
        <v>0</v>
      </c>
    </row>
    <row r="477" spans="2:5" x14ac:dyDescent="0.25">
      <c r="B477">
        <v>445</v>
      </c>
      <c r="C477" s="294">
        <f t="shared" si="12"/>
        <v>136.70399999999898</v>
      </c>
      <c r="D477" t="str">
        <f t="shared" si="13"/>
        <v>136.396899999999-136.703999999999</v>
      </c>
      <c r="E477">
        <v>0</v>
      </c>
    </row>
    <row r="478" spans="2:5" x14ac:dyDescent="0.25">
      <c r="B478">
        <v>446</v>
      </c>
      <c r="C478" s="294">
        <f t="shared" si="12"/>
        <v>137.01119999999898</v>
      </c>
      <c r="D478" t="str">
        <f t="shared" si="13"/>
        <v>136.704099999999-137.011199999999</v>
      </c>
      <c r="E478">
        <v>0</v>
      </c>
    </row>
    <row r="479" spans="2:5" x14ac:dyDescent="0.25">
      <c r="B479">
        <v>447</v>
      </c>
      <c r="C479" s="294">
        <f t="shared" si="12"/>
        <v>137.31839999999897</v>
      </c>
      <c r="D479" t="str">
        <f t="shared" si="13"/>
        <v>137.011299999999-137.318399999999</v>
      </c>
      <c r="E479">
        <v>0</v>
      </c>
    </row>
    <row r="480" spans="2:5" x14ac:dyDescent="0.25">
      <c r="B480">
        <v>448</v>
      </c>
      <c r="C480" s="294">
        <f t="shared" si="12"/>
        <v>137.62559999999897</v>
      </c>
      <c r="D480" t="str">
        <f t="shared" si="13"/>
        <v>137.318499999999-137.625599999999</v>
      </c>
      <c r="E480">
        <v>0</v>
      </c>
    </row>
    <row r="481" spans="2:5" x14ac:dyDescent="0.25">
      <c r="B481">
        <v>449</v>
      </c>
      <c r="C481" s="294">
        <f t="shared" ref="C481:C544" si="14">IF(B481&gt;$C$29,$C$27,C480+$C$30)</f>
        <v>137.93279999999896</v>
      </c>
      <c r="D481" t="str">
        <f t="shared" ref="D481:D544" si="15">C480+0.0001 &amp;"-"&amp;C481</f>
        <v>137.625699999999-137.932799999999</v>
      </c>
      <c r="E481">
        <v>0</v>
      </c>
    </row>
    <row r="482" spans="2:5" x14ac:dyDescent="0.25">
      <c r="B482">
        <v>450</v>
      </c>
      <c r="C482" s="294">
        <f t="shared" si="14"/>
        <v>138.23999999999896</v>
      </c>
      <c r="D482" t="str">
        <f t="shared" si="15"/>
        <v>137.932899999999-138.239999999999</v>
      </c>
      <c r="E482">
        <v>0</v>
      </c>
    </row>
    <row r="483" spans="2:5" x14ac:dyDescent="0.25">
      <c r="B483">
        <v>451</v>
      </c>
      <c r="C483" s="294">
        <f t="shared" si="14"/>
        <v>138.54719999999895</v>
      </c>
      <c r="D483" t="str">
        <f t="shared" si="15"/>
        <v>138.240099999999-138.547199999999</v>
      </c>
      <c r="E483">
        <v>0</v>
      </c>
    </row>
    <row r="484" spans="2:5" x14ac:dyDescent="0.25">
      <c r="B484">
        <v>452</v>
      </c>
      <c r="C484" s="294">
        <f t="shared" si="14"/>
        <v>138.85439999999895</v>
      </c>
      <c r="D484" t="str">
        <f t="shared" si="15"/>
        <v>138.547299999999-138.854399999999</v>
      </c>
      <c r="E484">
        <v>0</v>
      </c>
    </row>
    <row r="485" spans="2:5" x14ac:dyDescent="0.25">
      <c r="B485">
        <v>453</v>
      </c>
      <c r="C485" s="294">
        <f t="shared" si="14"/>
        <v>139.16159999999894</v>
      </c>
      <c r="D485" t="str">
        <f t="shared" si="15"/>
        <v>138.854499999999-139.161599999999</v>
      </c>
      <c r="E485">
        <v>0</v>
      </c>
    </row>
    <row r="486" spans="2:5" x14ac:dyDescent="0.25">
      <c r="B486">
        <v>454</v>
      </c>
      <c r="C486" s="294">
        <f t="shared" si="14"/>
        <v>139.46879999999894</v>
      </c>
      <c r="D486" t="str">
        <f t="shared" si="15"/>
        <v>139.161699999999-139.468799999999</v>
      </c>
      <c r="E486">
        <v>0</v>
      </c>
    </row>
    <row r="487" spans="2:5" x14ac:dyDescent="0.25">
      <c r="B487">
        <v>455</v>
      </c>
      <c r="C487" s="294">
        <f t="shared" si="14"/>
        <v>139.77599999999893</v>
      </c>
      <c r="D487" t="str">
        <f t="shared" si="15"/>
        <v>139.468899999999-139.775999999999</v>
      </c>
      <c r="E487">
        <v>0</v>
      </c>
    </row>
    <row r="488" spans="2:5" x14ac:dyDescent="0.25">
      <c r="B488">
        <v>456</v>
      </c>
      <c r="C488" s="294">
        <f t="shared" si="14"/>
        <v>140.08319999999893</v>
      </c>
      <c r="D488" t="str">
        <f t="shared" si="15"/>
        <v>139.776099999999-140.083199999999</v>
      </c>
      <c r="E488">
        <v>0</v>
      </c>
    </row>
    <row r="489" spans="2:5" x14ac:dyDescent="0.25">
      <c r="B489">
        <v>457</v>
      </c>
      <c r="C489" s="294">
        <f t="shared" si="14"/>
        <v>140.39039999999892</v>
      </c>
      <c r="D489" t="str">
        <f t="shared" si="15"/>
        <v>140.083299999999-140.390399999999</v>
      </c>
      <c r="E489">
        <v>0</v>
      </c>
    </row>
    <row r="490" spans="2:5" x14ac:dyDescent="0.25">
      <c r="B490">
        <v>458</v>
      </c>
      <c r="C490" s="294">
        <f t="shared" si="14"/>
        <v>140.69759999999891</v>
      </c>
      <c r="D490" t="str">
        <f t="shared" si="15"/>
        <v>140.390499999999-140.697599999999</v>
      </c>
      <c r="E490">
        <v>0</v>
      </c>
    </row>
    <row r="491" spans="2:5" x14ac:dyDescent="0.25">
      <c r="B491">
        <v>459</v>
      </c>
      <c r="C491" s="294">
        <f t="shared" si="14"/>
        <v>141.00479999999891</v>
      </c>
      <c r="D491" t="str">
        <f t="shared" si="15"/>
        <v>140.697699999999-141.004799999999</v>
      </c>
      <c r="E491">
        <v>0</v>
      </c>
    </row>
    <row r="492" spans="2:5" x14ac:dyDescent="0.25">
      <c r="B492">
        <v>460</v>
      </c>
      <c r="C492" s="294">
        <f t="shared" si="14"/>
        <v>141.3119999999989</v>
      </c>
      <c r="D492" t="str">
        <f t="shared" si="15"/>
        <v>141.004899999999-141.311999999999</v>
      </c>
      <c r="E492">
        <v>0</v>
      </c>
    </row>
    <row r="493" spans="2:5" x14ac:dyDescent="0.25">
      <c r="B493">
        <v>461</v>
      </c>
      <c r="C493" s="294">
        <f t="shared" si="14"/>
        <v>141.6191999999989</v>
      </c>
      <c r="D493" t="str">
        <f t="shared" si="15"/>
        <v>141.312099999999-141.619199999999</v>
      </c>
      <c r="E493">
        <v>0</v>
      </c>
    </row>
    <row r="494" spans="2:5" x14ac:dyDescent="0.25">
      <c r="B494">
        <v>462</v>
      </c>
      <c r="C494" s="294">
        <f t="shared" si="14"/>
        <v>141.92639999999889</v>
      </c>
      <c r="D494" t="str">
        <f t="shared" si="15"/>
        <v>141.619299999999-141.926399999999</v>
      </c>
      <c r="E494">
        <v>0</v>
      </c>
    </row>
    <row r="495" spans="2:5" x14ac:dyDescent="0.25">
      <c r="B495">
        <v>463</v>
      </c>
      <c r="C495" s="294">
        <f t="shared" si="14"/>
        <v>142.23359999999889</v>
      </c>
      <c r="D495" t="str">
        <f t="shared" si="15"/>
        <v>141.926499999999-142.233599999999</v>
      </c>
      <c r="E495">
        <v>0</v>
      </c>
    </row>
    <row r="496" spans="2:5" x14ac:dyDescent="0.25">
      <c r="B496">
        <v>464</v>
      </c>
      <c r="C496" s="294">
        <f t="shared" si="14"/>
        <v>142.54079999999888</v>
      </c>
      <c r="D496" t="str">
        <f t="shared" si="15"/>
        <v>142.233699999999-142.540799999999</v>
      </c>
      <c r="E496">
        <v>0</v>
      </c>
    </row>
    <row r="497" spans="2:5" x14ac:dyDescent="0.25">
      <c r="B497">
        <v>465</v>
      </c>
      <c r="C497" s="294">
        <f t="shared" si="14"/>
        <v>142.84799999999888</v>
      </c>
      <c r="D497" t="str">
        <f t="shared" si="15"/>
        <v>142.540899999999-142.847999999999</v>
      </c>
      <c r="E497">
        <v>0</v>
      </c>
    </row>
    <row r="498" spans="2:5" x14ac:dyDescent="0.25">
      <c r="B498">
        <v>466</v>
      </c>
      <c r="C498" s="294">
        <f t="shared" si="14"/>
        <v>143.15519999999887</v>
      </c>
      <c r="D498" t="str">
        <f t="shared" si="15"/>
        <v>142.848099999999-143.155199999999</v>
      </c>
      <c r="E498">
        <v>0</v>
      </c>
    </row>
    <row r="499" spans="2:5" x14ac:dyDescent="0.25">
      <c r="B499">
        <v>467</v>
      </c>
      <c r="C499" s="294">
        <f t="shared" si="14"/>
        <v>143.46239999999887</v>
      </c>
      <c r="D499" t="str">
        <f t="shared" si="15"/>
        <v>143.155299999999-143.462399999999</v>
      </c>
      <c r="E499">
        <v>0</v>
      </c>
    </row>
    <row r="500" spans="2:5" x14ac:dyDescent="0.25">
      <c r="B500">
        <v>468</v>
      </c>
      <c r="C500" s="294">
        <f t="shared" si="14"/>
        <v>143.76959999999886</v>
      </c>
      <c r="D500" t="str">
        <f t="shared" si="15"/>
        <v>143.462499999999-143.769599999999</v>
      </c>
      <c r="E500">
        <v>0</v>
      </c>
    </row>
    <row r="501" spans="2:5" x14ac:dyDescent="0.25">
      <c r="B501">
        <v>469</v>
      </c>
      <c r="C501" s="294">
        <f t="shared" si="14"/>
        <v>144.07679999999885</v>
      </c>
      <c r="D501" t="str">
        <f t="shared" si="15"/>
        <v>143.769699999999-144.076799999999</v>
      </c>
      <c r="E501">
        <v>0</v>
      </c>
    </row>
    <row r="502" spans="2:5" x14ac:dyDescent="0.25">
      <c r="B502">
        <v>470</v>
      </c>
      <c r="C502" s="294">
        <f t="shared" si="14"/>
        <v>144.38399999999885</v>
      </c>
      <c r="D502" t="str">
        <f t="shared" si="15"/>
        <v>144.076899999999-144.383999999999</v>
      </c>
      <c r="E502">
        <v>0</v>
      </c>
    </row>
    <row r="503" spans="2:5" x14ac:dyDescent="0.25">
      <c r="B503">
        <v>471</v>
      </c>
      <c r="C503" s="294">
        <f t="shared" si="14"/>
        <v>144.69119999999884</v>
      </c>
      <c r="D503" t="str">
        <f t="shared" si="15"/>
        <v>144.384099999999-144.691199999999</v>
      </c>
      <c r="E503">
        <v>0</v>
      </c>
    </row>
    <row r="504" spans="2:5" x14ac:dyDescent="0.25">
      <c r="B504">
        <v>472</v>
      </c>
      <c r="C504" s="294">
        <f t="shared" si="14"/>
        <v>144.99839999999884</v>
      </c>
      <c r="D504" t="str">
        <f t="shared" si="15"/>
        <v>144.691299999999-144.998399999999</v>
      </c>
      <c r="E504">
        <v>0</v>
      </c>
    </row>
    <row r="505" spans="2:5" x14ac:dyDescent="0.25">
      <c r="B505">
        <v>473</v>
      </c>
      <c r="C505" s="294">
        <f t="shared" si="14"/>
        <v>145.30559999999883</v>
      </c>
      <c r="D505" t="str">
        <f t="shared" si="15"/>
        <v>144.998499999999-145.305599999999</v>
      </c>
      <c r="E505">
        <v>0</v>
      </c>
    </row>
    <row r="506" spans="2:5" x14ac:dyDescent="0.25">
      <c r="B506">
        <v>474</v>
      </c>
      <c r="C506" s="294">
        <f t="shared" si="14"/>
        <v>145.61279999999883</v>
      </c>
      <c r="D506" t="str">
        <f t="shared" si="15"/>
        <v>145.305699999999-145.612799999999</v>
      </c>
      <c r="E506">
        <v>0</v>
      </c>
    </row>
    <row r="507" spans="2:5" x14ac:dyDescent="0.25">
      <c r="B507">
        <v>475</v>
      </c>
      <c r="C507" s="294">
        <f t="shared" si="14"/>
        <v>145.91999999999882</v>
      </c>
      <c r="D507" t="str">
        <f t="shared" si="15"/>
        <v>145.612899999999-145.919999999999</v>
      </c>
      <c r="E507">
        <v>0</v>
      </c>
    </row>
    <row r="508" spans="2:5" x14ac:dyDescent="0.25">
      <c r="B508">
        <v>476</v>
      </c>
      <c r="C508" s="294">
        <f t="shared" si="14"/>
        <v>146.22719999999882</v>
      </c>
      <c r="D508" t="str">
        <f t="shared" si="15"/>
        <v>145.920099999999-146.227199999999</v>
      </c>
      <c r="E508">
        <v>0</v>
      </c>
    </row>
    <row r="509" spans="2:5" x14ac:dyDescent="0.25">
      <c r="B509">
        <v>477</v>
      </c>
      <c r="C509" s="294">
        <f t="shared" si="14"/>
        <v>146.53439999999881</v>
      </c>
      <c r="D509" t="str">
        <f t="shared" si="15"/>
        <v>146.227299999999-146.534399999999</v>
      </c>
      <c r="E509">
        <v>0</v>
      </c>
    </row>
    <row r="510" spans="2:5" x14ac:dyDescent="0.25">
      <c r="B510">
        <v>478</v>
      </c>
      <c r="C510" s="294">
        <f t="shared" si="14"/>
        <v>146.84159999999881</v>
      </c>
      <c r="D510" t="str">
        <f t="shared" si="15"/>
        <v>146.534499999999-146.841599999999</v>
      </c>
      <c r="E510">
        <v>0</v>
      </c>
    </row>
    <row r="511" spans="2:5" x14ac:dyDescent="0.25">
      <c r="B511">
        <v>479</v>
      </c>
      <c r="C511" s="294">
        <f t="shared" si="14"/>
        <v>147.1487999999988</v>
      </c>
      <c r="D511" t="str">
        <f t="shared" si="15"/>
        <v>146.841699999999-147.148799999999</v>
      </c>
      <c r="E511">
        <v>0</v>
      </c>
    </row>
    <row r="512" spans="2:5" x14ac:dyDescent="0.25">
      <c r="B512">
        <v>480</v>
      </c>
      <c r="C512" s="294">
        <f t="shared" si="14"/>
        <v>147.4559999999988</v>
      </c>
      <c r="D512" t="str">
        <f t="shared" si="15"/>
        <v>147.148899999999-147.455999999999</v>
      </c>
      <c r="E512">
        <v>0</v>
      </c>
    </row>
    <row r="513" spans="2:5" x14ac:dyDescent="0.25">
      <c r="B513">
        <v>481</v>
      </c>
      <c r="C513" s="294">
        <f t="shared" si="14"/>
        <v>147.76319999999879</v>
      </c>
      <c r="D513" t="str">
        <f t="shared" si="15"/>
        <v>147.456099999999-147.763199999999</v>
      </c>
      <c r="E513">
        <v>0</v>
      </c>
    </row>
    <row r="514" spans="2:5" x14ac:dyDescent="0.25">
      <c r="B514">
        <v>482</v>
      </c>
      <c r="C514" s="294">
        <f t="shared" si="14"/>
        <v>148.07039999999878</v>
      </c>
      <c r="D514" t="str">
        <f t="shared" si="15"/>
        <v>147.763299999999-148.070399999999</v>
      </c>
      <c r="E514">
        <v>0</v>
      </c>
    </row>
    <row r="515" spans="2:5" x14ac:dyDescent="0.25">
      <c r="B515">
        <v>483</v>
      </c>
      <c r="C515" s="294">
        <f t="shared" si="14"/>
        <v>148.37759999999878</v>
      </c>
      <c r="D515" t="str">
        <f t="shared" si="15"/>
        <v>148.070499999999-148.377599999999</v>
      </c>
      <c r="E515">
        <v>0</v>
      </c>
    </row>
    <row r="516" spans="2:5" x14ac:dyDescent="0.25">
      <c r="B516">
        <v>484</v>
      </c>
      <c r="C516" s="294">
        <f t="shared" si="14"/>
        <v>148.68479999999877</v>
      </c>
      <c r="D516" t="str">
        <f t="shared" si="15"/>
        <v>148.377699999999-148.684799999999</v>
      </c>
      <c r="E516">
        <v>0</v>
      </c>
    </row>
    <row r="517" spans="2:5" x14ac:dyDescent="0.25">
      <c r="B517">
        <v>485</v>
      </c>
      <c r="C517" s="294">
        <f t="shared" si="14"/>
        <v>148.99199999999877</v>
      </c>
      <c r="D517" t="str">
        <f t="shared" si="15"/>
        <v>148.684899999999-148.991999999999</v>
      </c>
      <c r="E517">
        <v>0</v>
      </c>
    </row>
    <row r="518" spans="2:5" x14ac:dyDescent="0.25">
      <c r="B518">
        <v>486</v>
      </c>
      <c r="C518" s="294">
        <f t="shared" si="14"/>
        <v>149.29919999999876</v>
      </c>
      <c r="D518" t="str">
        <f t="shared" si="15"/>
        <v>148.992099999999-149.299199999999</v>
      </c>
      <c r="E518">
        <v>0</v>
      </c>
    </row>
    <row r="519" spans="2:5" x14ac:dyDescent="0.25">
      <c r="B519">
        <v>487</v>
      </c>
      <c r="C519" s="294">
        <f t="shared" si="14"/>
        <v>149.60639999999876</v>
      </c>
      <c r="D519" t="str">
        <f t="shared" si="15"/>
        <v>149.299299999999-149.606399999999</v>
      </c>
      <c r="E519">
        <v>0</v>
      </c>
    </row>
    <row r="520" spans="2:5" x14ac:dyDescent="0.25">
      <c r="B520">
        <v>488</v>
      </c>
      <c r="C520" s="294">
        <f t="shared" si="14"/>
        <v>149.91359999999875</v>
      </c>
      <c r="D520" t="str">
        <f t="shared" si="15"/>
        <v>149.606499999999-149.913599999999</v>
      </c>
      <c r="E520">
        <v>0</v>
      </c>
    </row>
    <row r="521" spans="2:5" x14ac:dyDescent="0.25">
      <c r="B521">
        <v>489</v>
      </c>
      <c r="C521" s="294">
        <f t="shared" si="14"/>
        <v>150.22079999999875</v>
      </c>
      <c r="D521" t="str">
        <f t="shared" si="15"/>
        <v>149.913699999999-150.220799999999</v>
      </c>
      <c r="E521">
        <v>0</v>
      </c>
    </row>
    <row r="522" spans="2:5" x14ac:dyDescent="0.25">
      <c r="B522">
        <v>490</v>
      </c>
      <c r="C522" s="294">
        <f t="shared" si="14"/>
        <v>150.52799999999874</v>
      </c>
      <c r="D522" t="str">
        <f t="shared" si="15"/>
        <v>150.220899999999-150.527999999999</v>
      </c>
      <c r="E522">
        <v>0</v>
      </c>
    </row>
    <row r="523" spans="2:5" x14ac:dyDescent="0.25">
      <c r="B523">
        <v>491</v>
      </c>
      <c r="C523" s="294">
        <f t="shared" si="14"/>
        <v>150.83519999999874</v>
      </c>
      <c r="D523" t="str">
        <f t="shared" si="15"/>
        <v>150.528099999999-150.835199999999</v>
      </c>
      <c r="E523">
        <v>0</v>
      </c>
    </row>
    <row r="524" spans="2:5" x14ac:dyDescent="0.25">
      <c r="B524">
        <v>492</v>
      </c>
      <c r="C524" s="294">
        <f t="shared" si="14"/>
        <v>151.14239999999873</v>
      </c>
      <c r="D524" t="str">
        <f t="shared" si="15"/>
        <v>150.835299999999-151.142399999999</v>
      </c>
      <c r="E524">
        <v>0</v>
      </c>
    </row>
    <row r="525" spans="2:5" x14ac:dyDescent="0.25">
      <c r="B525">
        <v>493</v>
      </c>
      <c r="C525" s="294">
        <f t="shared" si="14"/>
        <v>151.44959999999872</v>
      </c>
      <c r="D525" t="str">
        <f t="shared" si="15"/>
        <v>151.142499999999-151.449599999999</v>
      </c>
      <c r="E525">
        <v>0</v>
      </c>
    </row>
    <row r="526" spans="2:5" x14ac:dyDescent="0.25">
      <c r="B526">
        <v>494</v>
      </c>
      <c r="C526" s="294">
        <f t="shared" si="14"/>
        <v>151.75679999999872</v>
      </c>
      <c r="D526" t="str">
        <f t="shared" si="15"/>
        <v>151.449699999999-151.756799999999</v>
      </c>
      <c r="E526">
        <v>0</v>
      </c>
    </row>
    <row r="527" spans="2:5" x14ac:dyDescent="0.25">
      <c r="B527">
        <v>495</v>
      </c>
      <c r="C527" s="294">
        <f t="shared" si="14"/>
        <v>152.06399999999871</v>
      </c>
      <c r="D527" t="str">
        <f t="shared" si="15"/>
        <v>151.756899999999-152.063999999999</v>
      </c>
      <c r="E527">
        <v>0</v>
      </c>
    </row>
    <row r="528" spans="2:5" x14ac:dyDescent="0.25">
      <c r="B528">
        <v>496</v>
      </c>
      <c r="C528" s="294">
        <f t="shared" si="14"/>
        <v>152.37119999999871</v>
      </c>
      <c r="D528" t="str">
        <f t="shared" si="15"/>
        <v>152.064099999999-152.371199999999</v>
      </c>
      <c r="E528">
        <v>0</v>
      </c>
    </row>
    <row r="529" spans="2:5" x14ac:dyDescent="0.25">
      <c r="B529">
        <v>497</v>
      </c>
      <c r="C529" s="294">
        <f t="shared" si="14"/>
        <v>152.6783999999987</v>
      </c>
      <c r="D529" t="str">
        <f t="shared" si="15"/>
        <v>152.371299999999-152.678399999999</v>
      </c>
      <c r="E529">
        <v>0</v>
      </c>
    </row>
    <row r="530" spans="2:5" x14ac:dyDescent="0.25">
      <c r="B530">
        <v>498</v>
      </c>
      <c r="C530" s="294">
        <f t="shared" si="14"/>
        <v>152.9855999999987</v>
      </c>
      <c r="D530" t="str">
        <f t="shared" si="15"/>
        <v>152.678499999999-152.985599999999</v>
      </c>
      <c r="E530">
        <v>0</v>
      </c>
    </row>
    <row r="531" spans="2:5" x14ac:dyDescent="0.25">
      <c r="B531">
        <v>499</v>
      </c>
      <c r="C531" s="294">
        <f t="shared" si="14"/>
        <v>153.29279999999869</v>
      </c>
      <c r="D531" t="str">
        <f t="shared" si="15"/>
        <v>152.985699999999-153.292799999999</v>
      </c>
      <c r="E531">
        <v>0</v>
      </c>
    </row>
    <row r="532" spans="2:5" x14ac:dyDescent="0.25">
      <c r="B532">
        <v>500</v>
      </c>
      <c r="C532" s="294">
        <f t="shared" si="14"/>
        <v>153.59999999999869</v>
      </c>
      <c r="D532" t="str">
        <f t="shared" si="15"/>
        <v>153.292899999999-153.599999999999</v>
      </c>
      <c r="E532">
        <v>0</v>
      </c>
    </row>
    <row r="533" spans="2:5" x14ac:dyDescent="0.25">
      <c r="B533">
        <v>501</v>
      </c>
      <c r="C533" s="294">
        <f t="shared" si="14"/>
        <v>153.90719999999868</v>
      </c>
      <c r="D533" t="str">
        <f t="shared" si="15"/>
        <v>153.600099999999-153.907199999999</v>
      </c>
      <c r="E533">
        <v>0</v>
      </c>
    </row>
    <row r="534" spans="2:5" x14ac:dyDescent="0.25">
      <c r="B534">
        <v>502</v>
      </c>
      <c r="C534" s="294">
        <f t="shared" si="14"/>
        <v>154.21439999999868</v>
      </c>
      <c r="D534" t="str">
        <f t="shared" si="15"/>
        <v>153.907299999999-154.214399999999</v>
      </c>
      <c r="E534">
        <v>0</v>
      </c>
    </row>
    <row r="535" spans="2:5" x14ac:dyDescent="0.25">
      <c r="B535">
        <v>503</v>
      </c>
      <c r="C535" s="294">
        <f t="shared" si="14"/>
        <v>154.52159999999867</v>
      </c>
      <c r="D535" t="str">
        <f t="shared" si="15"/>
        <v>154.214499999999-154.521599999999</v>
      </c>
      <c r="E535">
        <v>0</v>
      </c>
    </row>
    <row r="536" spans="2:5" x14ac:dyDescent="0.25">
      <c r="B536">
        <v>504</v>
      </c>
      <c r="C536" s="294">
        <f t="shared" si="14"/>
        <v>154.82879999999867</v>
      </c>
      <c r="D536" t="str">
        <f t="shared" si="15"/>
        <v>154.521699999999-154.828799999999</v>
      </c>
      <c r="E536">
        <v>0</v>
      </c>
    </row>
    <row r="537" spans="2:5" x14ac:dyDescent="0.25">
      <c r="B537">
        <v>505</v>
      </c>
      <c r="C537" s="294">
        <f t="shared" si="14"/>
        <v>155.13599999999866</v>
      </c>
      <c r="D537" t="str">
        <f t="shared" si="15"/>
        <v>154.828899999999-155.135999999999</v>
      </c>
      <c r="E537">
        <v>0</v>
      </c>
    </row>
    <row r="538" spans="2:5" x14ac:dyDescent="0.25">
      <c r="B538">
        <v>506</v>
      </c>
      <c r="C538" s="294">
        <f t="shared" si="14"/>
        <v>155.44319999999865</v>
      </c>
      <c r="D538" t="str">
        <f t="shared" si="15"/>
        <v>155.136099999999-155.443199999999</v>
      </c>
      <c r="E538">
        <v>0</v>
      </c>
    </row>
    <row r="539" spans="2:5" x14ac:dyDescent="0.25">
      <c r="B539">
        <v>507</v>
      </c>
      <c r="C539" s="294">
        <f t="shared" si="14"/>
        <v>155.75039999999865</v>
      </c>
      <c r="D539" t="str">
        <f t="shared" si="15"/>
        <v>155.443299999999-155.750399999999</v>
      </c>
      <c r="E539">
        <v>0</v>
      </c>
    </row>
    <row r="540" spans="2:5" x14ac:dyDescent="0.25">
      <c r="B540">
        <v>508</v>
      </c>
      <c r="C540" s="294">
        <f t="shared" si="14"/>
        <v>156.05759999999864</v>
      </c>
      <c r="D540" t="str">
        <f t="shared" si="15"/>
        <v>155.750499999999-156.057599999999</v>
      </c>
      <c r="E540">
        <v>0</v>
      </c>
    </row>
    <row r="541" spans="2:5" x14ac:dyDescent="0.25">
      <c r="B541">
        <v>509</v>
      </c>
      <c r="C541" s="294">
        <f t="shared" si="14"/>
        <v>156.36479999999864</v>
      </c>
      <c r="D541" t="str">
        <f t="shared" si="15"/>
        <v>156.057699999999-156.364799999999</v>
      </c>
      <c r="E541">
        <v>0</v>
      </c>
    </row>
    <row r="542" spans="2:5" x14ac:dyDescent="0.25">
      <c r="B542">
        <v>510</v>
      </c>
      <c r="C542" s="294">
        <f t="shared" si="14"/>
        <v>156.67199999999863</v>
      </c>
      <c r="D542" t="str">
        <f t="shared" si="15"/>
        <v>156.364899999999-156.671999999999</v>
      </c>
      <c r="E542">
        <v>0</v>
      </c>
    </row>
    <row r="543" spans="2:5" x14ac:dyDescent="0.25">
      <c r="B543">
        <v>511</v>
      </c>
      <c r="C543" s="294">
        <f t="shared" si="14"/>
        <v>156.97919999999863</v>
      </c>
      <c r="D543" t="str">
        <f t="shared" si="15"/>
        <v>156.672099999999-156.979199999999</v>
      </c>
      <c r="E543">
        <v>0</v>
      </c>
    </row>
    <row r="544" spans="2:5" x14ac:dyDescent="0.25">
      <c r="B544">
        <v>512</v>
      </c>
      <c r="C544" s="294">
        <f t="shared" si="14"/>
        <v>157.28639999999862</v>
      </c>
      <c r="D544" t="str">
        <f t="shared" si="15"/>
        <v>156.979299999999-157.286399999999</v>
      </c>
      <c r="E544">
        <v>0</v>
      </c>
    </row>
    <row r="545" spans="2:5" x14ac:dyDescent="0.25">
      <c r="B545">
        <v>513</v>
      </c>
      <c r="C545" s="294">
        <f t="shared" ref="C545:C608" si="16">IF(B545&gt;$C$29,$C$27,C544+$C$30)</f>
        <v>157.59359999999862</v>
      </c>
      <c r="D545" t="str">
        <f t="shared" ref="D545:D608" si="17">C544+0.0001 &amp;"-"&amp;C545</f>
        <v>157.286499999999-157.593599999999</v>
      </c>
      <c r="E545">
        <v>0</v>
      </c>
    </row>
    <row r="546" spans="2:5" x14ac:dyDescent="0.25">
      <c r="B546">
        <v>514</v>
      </c>
      <c r="C546" s="294">
        <f t="shared" si="16"/>
        <v>157.90079999999861</v>
      </c>
      <c r="D546" t="str">
        <f t="shared" si="17"/>
        <v>157.593699999999-157.900799999999</v>
      </c>
      <c r="E546">
        <v>0</v>
      </c>
    </row>
    <row r="547" spans="2:5" x14ac:dyDescent="0.25">
      <c r="B547">
        <v>515</v>
      </c>
      <c r="C547" s="294">
        <f t="shared" si="16"/>
        <v>158.20799999999861</v>
      </c>
      <c r="D547" t="str">
        <f t="shared" si="17"/>
        <v>157.900899999999-158.207999999999</v>
      </c>
      <c r="E547">
        <v>0</v>
      </c>
    </row>
    <row r="548" spans="2:5" x14ac:dyDescent="0.25">
      <c r="B548">
        <v>516</v>
      </c>
      <c r="C548" s="294">
        <f t="shared" si="16"/>
        <v>158.5151999999986</v>
      </c>
      <c r="D548" t="str">
        <f t="shared" si="17"/>
        <v>158.208099999999-158.515199999999</v>
      </c>
      <c r="E548">
        <v>0</v>
      </c>
    </row>
    <row r="549" spans="2:5" x14ac:dyDescent="0.25">
      <c r="B549">
        <v>517</v>
      </c>
      <c r="C549" s="294">
        <f t="shared" si="16"/>
        <v>158.82239999999859</v>
      </c>
      <c r="D549" t="str">
        <f t="shared" si="17"/>
        <v>158.515299999999-158.822399999999</v>
      </c>
      <c r="E549">
        <v>0</v>
      </c>
    </row>
    <row r="550" spans="2:5" x14ac:dyDescent="0.25">
      <c r="B550">
        <v>518</v>
      </c>
      <c r="C550" s="294">
        <f t="shared" si="16"/>
        <v>159.12959999999859</v>
      </c>
      <c r="D550" t="str">
        <f t="shared" si="17"/>
        <v>158.822499999999-159.129599999999</v>
      </c>
      <c r="E550">
        <v>0</v>
      </c>
    </row>
    <row r="551" spans="2:5" x14ac:dyDescent="0.25">
      <c r="B551">
        <v>519</v>
      </c>
      <c r="C551" s="294">
        <f t="shared" si="16"/>
        <v>159.43679999999858</v>
      </c>
      <c r="D551" t="str">
        <f t="shared" si="17"/>
        <v>159.129699999999-159.436799999999</v>
      </c>
      <c r="E551">
        <v>0</v>
      </c>
    </row>
    <row r="552" spans="2:5" x14ac:dyDescent="0.25">
      <c r="B552">
        <v>520</v>
      </c>
      <c r="C552" s="294">
        <f t="shared" si="16"/>
        <v>159.74399999999858</v>
      </c>
      <c r="D552" t="str">
        <f t="shared" si="17"/>
        <v>159.436899999999-159.743999999999</v>
      </c>
      <c r="E552">
        <v>0</v>
      </c>
    </row>
    <row r="553" spans="2:5" x14ac:dyDescent="0.25">
      <c r="B553">
        <v>521</v>
      </c>
      <c r="C553" s="294">
        <f t="shared" si="16"/>
        <v>160.05119999999857</v>
      </c>
      <c r="D553" t="str">
        <f t="shared" si="17"/>
        <v>159.744099999999-160.051199999999</v>
      </c>
      <c r="E553">
        <v>0</v>
      </c>
    </row>
    <row r="554" spans="2:5" x14ac:dyDescent="0.25">
      <c r="B554">
        <v>522</v>
      </c>
      <c r="C554" s="294">
        <f t="shared" si="16"/>
        <v>160.35839999999857</v>
      </c>
      <c r="D554" t="str">
        <f t="shared" si="17"/>
        <v>160.051299999999-160.358399999999</v>
      </c>
      <c r="E554">
        <v>0</v>
      </c>
    </row>
    <row r="555" spans="2:5" x14ac:dyDescent="0.25">
      <c r="B555">
        <v>523</v>
      </c>
      <c r="C555" s="294">
        <f t="shared" si="16"/>
        <v>160.66559999999856</v>
      </c>
      <c r="D555" t="str">
        <f t="shared" si="17"/>
        <v>160.358499999999-160.665599999999</v>
      </c>
      <c r="E555">
        <v>0</v>
      </c>
    </row>
    <row r="556" spans="2:5" x14ac:dyDescent="0.25">
      <c r="B556">
        <v>524</v>
      </c>
      <c r="C556" s="294">
        <f t="shared" si="16"/>
        <v>160.97279999999856</v>
      </c>
      <c r="D556" t="str">
        <f t="shared" si="17"/>
        <v>160.665699999999-160.972799999999</v>
      </c>
      <c r="E556">
        <v>0</v>
      </c>
    </row>
    <row r="557" spans="2:5" x14ac:dyDescent="0.25">
      <c r="B557">
        <v>525</v>
      </c>
      <c r="C557" s="294">
        <f t="shared" si="16"/>
        <v>161.27999999999855</v>
      </c>
      <c r="D557" t="str">
        <f t="shared" si="17"/>
        <v>160.972899999999-161.279999999999</v>
      </c>
      <c r="E557">
        <v>0</v>
      </c>
    </row>
    <row r="558" spans="2:5" x14ac:dyDescent="0.25">
      <c r="B558">
        <v>526</v>
      </c>
      <c r="C558" s="294">
        <f t="shared" si="16"/>
        <v>161.58719999999855</v>
      </c>
      <c r="D558" t="str">
        <f t="shared" si="17"/>
        <v>161.280099999999-161.587199999999</v>
      </c>
      <c r="E558">
        <v>0</v>
      </c>
    </row>
    <row r="559" spans="2:5" x14ac:dyDescent="0.25">
      <c r="B559">
        <v>527</v>
      </c>
      <c r="C559" s="294">
        <f t="shared" si="16"/>
        <v>161.89439999999854</v>
      </c>
      <c r="D559" t="str">
        <f t="shared" si="17"/>
        <v>161.587299999999-161.894399999999</v>
      </c>
      <c r="E559">
        <v>0</v>
      </c>
    </row>
    <row r="560" spans="2:5" x14ac:dyDescent="0.25">
      <c r="B560">
        <v>528</v>
      </c>
      <c r="C560" s="294">
        <f t="shared" si="16"/>
        <v>162.20159999999854</v>
      </c>
      <c r="D560" t="str">
        <f t="shared" si="17"/>
        <v>161.894499999999-162.201599999999</v>
      </c>
      <c r="E560">
        <v>0</v>
      </c>
    </row>
    <row r="561" spans="2:5" x14ac:dyDescent="0.25">
      <c r="B561">
        <v>529</v>
      </c>
      <c r="C561" s="294">
        <f t="shared" si="16"/>
        <v>162.50879999999853</v>
      </c>
      <c r="D561" t="str">
        <f t="shared" si="17"/>
        <v>162.201699999999-162.508799999999</v>
      </c>
      <c r="E561">
        <v>0</v>
      </c>
    </row>
    <row r="562" spans="2:5" x14ac:dyDescent="0.25">
      <c r="B562">
        <v>530</v>
      </c>
      <c r="C562" s="294">
        <f t="shared" si="16"/>
        <v>162.81599999999852</v>
      </c>
      <c r="D562" t="str">
        <f t="shared" si="17"/>
        <v>162.508899999999-162.815999999999</v>
      </c>
      <c r="E562">
        <v>0</v>
      </c>
    </row>
    <row r="563" spans="2:5" x14ac:dyDescent="0.25">
      <c r="B563">
        <v>531</v>
      </c>
      <c r="C563" s="294">
        <f t="shared" si="16"/>
        <v>163.12319999999852</v>
      </c>
      <c r="D563" t="str">
        <f t="shared" si="17"/>
        <v>162.816099999999-163.123199999999</v>
      </c>
      <c r="E563">
        <v>0</v>
      </c>
    </row>
    <row r="564" spans="2:5" x14ac:dyDescent="0.25">
      <c r="B564">
        <v>532</v>
      </c>
      <c r="C564" s="294">
        <f t="shared" si="16"/>
        <v>163.43039999999851</v>
      </c>
      <c r="D564" t="str">
        <f t="shared" si="17"/>
        <v>163.123299999999-163.430399999999</v>
      </c>
      <c r="E564">
        <v>0</v>
      </c>
    </row>
    <row r="565" spans="2:5" x14ac:dyDescent="0.25">
      <c r="B565">
        <v>533</v>
      </c>
      <c r="C565" s="294">
        <f t="shared" si="16"/>
        <v>163.73759999999851</v>
      </c>
      <c r="D565" t="str">
        <f t="shared" si="17"/>
        <v>163.430499999999-163.737599999999</v>
      </c>
      <c r="E565">
        <v>0</v>
      </c>
    </row>
    <row r="566" spans="2:5" x14ac:dyDescent="0.25">
      <c r="B566">
        <v>534</v>
      </c>
      <c r="C566" s="294">
        <f t="shared" si="16"/>
        <v>164.0447999999985</v>
      </c>
      <c r="D566" t="str">
        <f t="shared" si="17"/>
        <v>163.737699999999-164.044799999999</v>
      </c>
      <c r="E566">
        <v>0</v>
      </c>
    </row>
    <row r="567" spans="2:5" x14ac:dyDescent="0.25">
      <c r="B567">
        <v>535</v>
      </c>
      <c r="C567" s="294">
        <f t="shared" si="16"/>
        <v>164.3519999999985</v>
      </c>
      <c r="D567" t="str">
        <f t="shared" si="17"/>
        <v>164.044899999999-164.351999999998</v>
      </c>
      <c r="E567">
        <v>0</v>
      </c>
    </row>
    <row r="568" spans="2:5" x14ac:dyDescent="0.25">
      <c r="B568">
        <v>536</v>
      </c>
      <c r="C568" s="294">
        <f t="shared" si="16"/>
        <v>164.65919999999849</v>
      </c>
      <c r="D568" t="str">
        <f t="shared" si="17"/>
        <v>164.352099999999-164.659199999998</v>
      </c>
      <c r="E568">
        <v>0</v>
      </c>
    </row>
    <row r="569" spans="2:5" x14ac:dyDescent="0.25">
      <c r="B569">
        <v>537</v>
      </c>
      <c r="C569" s="294">
        <f t="shared" si="16"/>
        <v>164.96639999999849</v>
      </c>
      <c r="D569" t="str">
        <f t="shared" si="17"/>
        <v>164.659299999998-164.966399999998</v>
      </c>
      <c r="E569">
        <v>0</v>
      </c>
    </row>
    <row r="570" spans="2:5" x14ac:dyDescent="0.25">
      <c r="B570">
        <v>538</v>
      </c>
      <c r="C570" s="294">
        <f t="shared" si="16"/>
        <v>165.27359999999848</v>
      </c>
      <c r="D570" t="str">
        <f t="shared" si="17"/>
        <v>164.966499999998-165.273599999998</v>
      </c>
      <c r="E570">
        <v>0</v>
      </c>
    </row>
    <row r="571" spans="2:5" x14ac:dyDescent="0.25">
      <c r="B571">
        <v>539</v>
      </c>
      <c r="C571" s="294">
        <f t="shared" si="16"/>
        <v>165.58079999999848</v>
      </c>
      <c r="D571" t="str">
        <f t="shared" si="17"/>
        <v>165.273699999998-165.580799999998</v>
      </c>
      <c r="E571">
        <v>0</v>
      </c>
    </row>
    <row r="572" spans="2:5" x14ac:dyDescent="0.25">
      <c r="B572">
        <v>540</v>
      </c>
      <c r="C572" s="294">
        <f t="shared" si="16"/>
        <v>165.88799999999847</v>
      </c>
      <c r="D572" t="str">
        <f t="shared" si="17"/>
        <v>165.580899999998-165.887999999998</v>
      </c>
      <c r="E572">
        <v>0</v>
      </c>
    </row>
    <row r="573" spans="2:5" x14ac:dyDescent="0.25">
      <c r="B573">
        <v>541</v>
      </c>
      <c r="C573" s="294">
        <f t="shared" si="16"/>
        <v>166.19519999999847</v>
      </c>
      <c r="D573" t="str">
        <f t="shared" si="17"/>
        <v>165.888099999998-166.195199999998</v>
      </c>
      <c r="E573">
        <v>0</v>
      </c>
    </row>
    <row r="574" spans="2:5" x14ac:dyDescent="0.25">
      <c r="B574">
        <v>542</v>
      </c>
      <c r="C574" s="294">
        <f t="shared" si="16"/>
        <v>166.50239999999846</v>
      </c>
      <c r="D574" t="str">
        <f t="shared" si="17"/>
        <v>166.195299999998-166.502399999998</v>
      </c>
      <c r="E574">
        <v>0</v>
      </c>
    </row>
    <row r="575" spans="2:5" x14ac:dyDescent="0.25">
      <c r="B575">
        <v>543</v>
      </c>
      <c r="C575" s="294">
        <f t="shared" si="16"/>
        <v>166.80959999999845</v>
      </c>
      <c r="D575" t="str">
        <f t="shared" si="17"/>
        <v>166.502499999998-166.809599999998</v>
      </c>
      <c r="E575">
        <v>0</v>
      </c>
    </row>
    <row r="576" spans="2:5" x14ac:dyDescent="0.25">
      <c r="B576">
        <v>544</v>
      </c>
      <c r="C576" s="294">
        <f t="shared" si="16"/>
        <v>167.11679999999845</v>
      </c>
      <c r="D576" t="str">
        <f t="shared" si="17"/>
        <v>166.809699999998-167.116799999998</v>
      </c>
      <c r="E576">
        <v>0</v>
      </c>
    </row>
    <row r="577" spans="2:5" x14ac:dyDescent="0.25">
      <c r="B577">
        <v>545</v>
      </c>
      <c r="C577" s="294">
        <f t="shared" si="16"/>
        <v>167.42399999999844</v>
      </c>
      <c r="D577" t="str">
        <f t="shared" si="17"/>
        <v>167.116899999998-167.423999999998</v>
      </c>
      <c r="E577">
        <v>0</v>
      </c>
    </row>
    <row r="578" spans="2:5" x14ac:dyDescent="0.25">
      <c r="B578">
        <v>546</v>
      </c>
      <c r="C578" s="294">
        <f t="shared" si="16"/>
        <v>167.73119999999844</v>
      </c>
      <c r="D578" t="str">
        <f t="shared" si="17"/>
        <v>167.424099999998-167.731199999998</v>
      </c>
      <c r="E578">
        <v>0</v>
      </c>
    </row>
    <row r="579" spans="2:5" x14ac:dyDescent="0.25">
      <c r="B579">
        <v>547</v>
      </c>
      <c r="C579" s="294">
        <f t="shared" si="16"/>
        <v>168.03839999999843</v>
      </c>
      <c r="D579" t="str">
        <f t="shared" si="17"/>
        <v>167.731299999998-168.038399999998</v>
      </c>
      <c r="E579">
        <v>0</v>
      </c>
    </row>
    <row r="580" spans="2:5" x14ac:dyDescent="0.25">
      <c r="B580">
        <v>548</v>
      </c>
      <c r="C580" s="294">
        <f t="shared" si="16"/>
        <v>168.34559999999843</v>
      </c>
      <c r="D580" t="str">
        <f t="shared" si="17"/>
        <v>168.038499999998-168.345599999998</v>
      </c>
      <c r="E580">
        <v>0</v>
      </c>
    </row>
    <row r="581" spans="2:5" x14ac:dyDescent="0.25">
      <c r="B581">
        <v>549</v>
      </c>
      <c r="C581" s="294">
        <f t="shared" si="16"/>
        <v>168.65279999999842</v>
      </c>
      <c r="D581" t="str">
        <f t="shared" si="17"/>
        <v>168.345699999998-168.652799999998</v>
      </c>
      <c r="E581">
        <v>0</v>
      </c>
    </row>
    <row r="582" spans="2:5" x14ac:dyDescent="0.25">
      <c r="B582">
        <v>550</v>
      </c>
      <c r="C582" s="294">
        <f t="shared" si="16"/>
        <v>168.95999999999842</v>
      </c>
      <c r="D582" t="str">
        <f t="shared" si="17"/>
        <v>168.652899999998-168.959999999998</v>
      </c>
      <c r="E582">
        <v>0</v>
      </c>
    </row>
    <row r="583" spans="2:5" x14ac:dyDescent="0.25">
      <c r="B583">
        <v>551</v>
      </c>
      <c r="C583" s="294">
        <f t="shared" si="16"/>
        <v>169.26719999999841</v>
      </c>
      <c r="D583" t="str">
        <f t="shared" si="17"/>
        <v>168.960099999998-169.267199999998</v>
      </c>
      <c r="E583">
        <v>0</v>
      </c>
    </row>
    <row r="584" spans="2:5" x14ac:dyDescent="0.25">
      <c r="B584">
        <v>552</v>
      </c>
      <c r="C584" s="294">
        <f t="shared" si="16"/>
        <v>169.57439999999841</v>
      </c>
      <c r="D584" t="str">
        <f t="shared" si="17"/>
        <v>169.267299999998-169.574399999998</v>
      </c>
      <c r="E584">
        <v>0</v>
      </c>
    </row>
    <row r="585" spans="2:5" x14ac:dyDescent="0.25">
      <c r="B585">
        <v>553</v>
      </c>
      <c r="C585" s="294">
        <f t="shared" si="16"/>
        <v>169.8815999999984</v>
      </c>
      <c r="D585" t="str">
        <f t="shared" si="17"/>
        <v>169.574499999998-169.881599999998</v>
      </c>
      <c r="E585">
        <v>0</v>
      </c>
    </row>
    <row r="586" spans="2:5" x14ac:dyDescent="0.25">
      <c r="B586">
        <v>554</v>
      </c>
      <c r="C586" s="294">
        <f t="shared" si="16"/>
        <v>170.18879999999839</v>
      </c>
      <c r="D586" t="str">
        <f t="shared" si="17"/>
        <v>169.881699999998-170.188799999998</v>
      </c>
      <c r="E586">
        <v>0</v>
      </c>
    </row>
    <row r="587" spans="2:5" x14ac:dyDescent="0.25">
      <c r="B587">
        <v>555</v>
      </c>
      <c r="C587" s="294">
        <f t="shared" si="16"/>
        <v>170.49599999999839</v>
      </c>
      <c r="D587" t="str">
        <f t="shared" si="17"/>
        <v>170.188899999998-170.495999999998</v>
      </c>
      <c r="E587">
        <v>0</v>
      </c>
    </row>
    <row r="588" spans="2:5" x14ac:dyDescent="0.25">
      <c r="B588">
        <v>556</v>
      </c>
      <c r="C588" s="294">
        <f t="shared" si="16"/>
        <v>170.80319999999838</v>
      </c>
      <c r="D588" t="str">
        <f t="shared" si="17"/>
        <v>170.496099999998-170.803199999998</v>
      </c>
      <c r="E588">
        <v>0</v>
      </c>
    </row>
    <row r="589" spans="2:5" x14ac:dyDescent="0.25">
      <c r="B589">
        <v>557</v>
      </c>
      <c r="C589" s="294">
        <f t="shared" si="16"/>
        <v>171.11039999999838</v>
      </c>
      <c r="D589" t="str">
        <f t="shared" si="17"/>
        <v>170.803299999998-171.110399999998</v>
      </c>
      <c r="E589">
        <v>0</v>
      </c>
    </row>
    <row r="590" spans="2:5" x14ac:dyDescent="0.25">
      <c r="B590">
        <v>558</v>
      </c>
      <c r="C590" s="294">
        <f t="shared" si="16"/>
        <v>171.41759999999837</v>
      </c>
      <c r="D590" t="str">
        <f t="shared" si="17"/>
        <v>171.110499999998-171.417599999998</v>
      </c>
      <c r="E590">
        <v>0</v>
      </c>
    </row>
    <row r="591" spans="2:5" x14ac:dyDescent="0.25">
      <c r="B591">
        <v>559</v>
      </c>
      <c r="C591" s="294">
        <f t="shared" si="16"/>
        <v>171.72479999999837</v>
      </c>
      <c r="D591" t="str">
        <f t="shared" si="17"/>
        <v>171.417699999998-171.724799999998</v>
      </c>
      <c r="E591">
        <v>0</v>
      </c>
    </row>
    <row r="592" spans="2:5" x14ac:dyDescent="0.25">
      <c r="B592">
        <v>560</v>
      </c>
      <c r="C592" s="294">
        <f t="shared" si="16"/>
        <v>172.03199999999836</v>
      </c>
      <c r="D592" t="str">
        <f t="shared" si="17"/>
        <v>171.724899999998-172.031999999998</v>
      </c>
      <c r="E592">
        <v>0</v>
      </c>
    </row>
    <row r="593" spans="2:5" x14ac:dyDescent="0.25">
      <c r="B593">
        <v>561</v>
      </c>
      <c r="C593" s="294">
        <f t="shared" si="16"/>
        <v>172.33919999999836</v>
      </c>
      <c r="D593" t="str">
        <f t="shared" si="17"/>
        <v>172.032099999998-172.339199999998</v>
      </c>
      <c r="E593">
        <v>0</v>
      </c>
    </row>
    <row r="594" spans="2:5" x14ac:dyDescent="0.25">
      <c r="B594">
        <v>562</v>
      </c>
      <c r="C594" s="294">
        <f t="shared" si="16"/>
        <v>172.64639999999835</v>
      </c>
      <c r="D594" t="str">
        <f t="shared" si="17"/>
        <v>172.339299999998-172.646399999998</v>
      </c>
      <c r="E594">
        <v>0</v>
      </c>
    </row>
    <row r="595" spans="2:5" x14ac:dyDescent="0.25">
      <c r="B595">
        <v>563</v>
      </c>
      <c r="C595" s="294">
        <f t="shared" si="16"/>
        <v>172.95359999999835</v>
      </c>
      <c r="D595" t="str">
        <f t="shared" si="17"/>
        <v>172.646499999998-172.953599999998</v>
      </c>
      <c r="E595">
        <v>0</v>
      </c>
    </row>
    <row r="596" spans="2:5" x14ac:dyDescent="0.25">
      <c r="B596">
        <v>564</v>
      </c>
      <c r="C596" s="294">
        <f t="shared" si="16"/>
        <v>173.26079999999834</v>
      </c>
      <c r="D596" t="str">
        <f t="shared" si="17"/>
        <v>172.953699999998-173.260799999998</v>
      </c>
      <c r="E596">
        <v>0</v>
      </c>
    </row>
    <row r="597" spans="2:5" x14ac:dyDescent="0.25">
      <c r="B597">
        <v>565</v>
      </c>
      <c r="C597" s="294">
        <f t="shared" si="16"/>
        <v>173.56799999999834</v>
      </c>
      <c r="D597" t="str">
        <f t="shared" si="17"/>
        <v>173.260899999998-173.567999999998</v>
      </c>
      <c r="E597">
        <v>0</v>
      </c>
    </row>
    <row r="598" spans="2:5" x14ac:dyDescent="0.25">
      <c r="B598">
        <v>566</v>
      </c>
      <c r="C598" s="294">
        <f t="shared" si="16"/>
        <v>173.87519999999833</v>
      </c>
      <c r="D598" t="str">
        <f t="shared" si="17"/>
        <v>173.568099999998-173.875199999998</v>
      </c>
      <c r="E598">
        <v>0</v>
      </c>
    </row>
    <row r="599" spans="2:5" x14ac:dyDescent="0.25">
      <c r="B599">
        <v>567</v>
      </c>
      <c r="C599" s="294">
        <f t="shared" si="16"/>
        <v>174.18239999999832</v>
      </c>
      <c r="D599" t="str">
        <f t="shared" si="17"/>
        <v>173.875299999998-174.182399999998</v>
      </c>
      <c r="E599">
        <v>0</v>
      </c>
    </row>
    <row r="600" spans="2:5" x14ac:dyDescent="0.25">
      <c r="B600">
        <v>568</v>
      </c>
      <c r="C600" s="294">
        <f t="shared" si="16"/>
        <v>174.48959999999832</v>
      </c>
      <c r="D600" t="str">
        <f t="shared" si="17"/>
        <v>174.182499999998-174.489599999998</v>
      </c>
      <c r="E600">
        <v>0</v>
      </c>
    </row>
    <row r="601" spans="2:5" x14ac:dyDescent="0.25">
      <c r="B601">
        <v>569</v>
      </c>
      <c r="C601" s="294">
        <f t="shared" si="16"/>
        <v>174.79679999999831</v>
      </c>
      <c r="D601" t="str">
        <f t="shared" si="17"/>
        <v>174.489699999998-174.796799999998</v>
      </c>
      <c r="E601">
        <v>0</v>
      </c>
    </row>
    <row r="602" spans="2:5" x14ac:dyDescent="0.25">
      <c r="B602">
        <v>570</v>
      </c>
      <c r="C602" s="294">
        <f t="shared" si="16"/>
        <v>175.10399999999831</v>
      </c>
      <c r="D602" t="str">
        <f t="shared" si="17"/>
        <v>174.796899999998-175.103999999998</v>
      </c>
      <c r="E602">
        <v>0</v>
      </c>
    </row>
    <row r="603" spans="2:5" x14ac:dyDescent="0.25">
      <c r="B603">
        <v>571</v>
      </c>
      <c r="C603" s="294">
        <f t="shared" si="16"/>
        <v>175.4111999999983</v>
      </c>
      <c r="D603" t="str">
        <f t="shared" si="17"/>
        <v>175.104099999998-175.411199999998</v>
      </c>
      <c r="E603">
        <v>0</v>
      </c>
    </row>
    <row r="604" spans="2:5" x14ac:dyDescent="0.25">
      <c r="B604">
        <v>572</v>
      </c>
      <c r="C604" s="294">
        <f t="shared" si="16"/>
        <v>175.7183999999983</v>
      </c>
      <c r="D604" t="str">
        <f t="shared" si="17"/>
        <v>175.411299999998-175.718399999998</v>
      </c>
      <c r="E604">
        <v>0</v>
      </c>
    </row>
    <row r="605" spans="2:5" x14ac:dyDescent="0.25">
      <c r="B605">
        <v>573</v>
      </c>
      <c r="C605" s="294">
        <f t="shared" si="16"/>
        <v>176.02559999999829</v>
      </c>
      <c r="D605" t="str">
        <f t="shared" si="17"/>
        <v>175.718499999998-176.025599999998</v>
      </c>
      <c r="E605">
        <v>0</v>
      </c>
    </row>
    <row r="606" spans="2:5" x14ac:dyDescent="0.25">
      <c r="B606">
        <v>574</v>
      </c>
      <c r="C606" s="294">
        <f t="shared" si="16"/>
        <v>176.33279999999829</v>
      </c>
      <c r="D606" t="str">
        <f t="shared" si="17"/>
        <v>176.025699999998-176.332799999998</v>
      </c>
      <c r="E606">
        <v>0</v>
      </c>
    </row>
    <row r="607" spans="2:5" x14ac:dyDescent="0.25">
      <c r="B607">
        <v>575</v>
      </c>
      <c r="C607" s="294">
        <f t="shared" si="16"/>
        <v>176.63999999999828</v>
      </c>
      <c r="D607" t="str">
        <f t="shared" si="17"/>
        <v>176.332899999998-176.639999999998</v>
      </c>
      <c r="E607">
        <v>0</v>
      </c>
    </row>
    <row r="608" spans="2:5" x14ac:dyDescent="0.25">
      <c r="B608">
        <v>576</v>
      </c>
      <c r="C608" s="294">
        <f t="shared" si="16"/>
        <v>176.94719999999828</v>
      </c>
      <c r="D608" t="str">
        <f t="shared" si="17"/>
        <v>176.640099999998-176.947199999998</v>
      </c>
      <c r="E608">
        <v>0</v>
      </c>
    </row>
    <row r="609" spans="2:5" x14ac:dyDescent="0.25">
      <c r="B609">
        <v>577</v>
      </c>
      <c r="C609" s="294">
        <f t="shared" ref="C609:C672" si="18">IF(B609&gt;$C$29,$C$27,C608+$C$30)</f>
        <v>177.25439999999827</v>
      </c>
      <c r="D609" t="str">
        <f t="shared" ref="D609:D672" si="19">C608+0.0001 &amp;"-"&amp;C609</f>
        <v>176.947299999998-177.254399999998</v>
      </c>
      <c r="E609">
        <v>1</v>
      </c>
    </row>
    <row r="610" spans="2:5" x14ac:dyDescent="0.25">
      <c r="B610">
        <v>578</v>
      </c>
      <c r="C610" s="294">
        <f t="shared" si="18"/>
        <v>177.56159999999826</v>
      </c>
      <c r="D610" t="str">
        <f t="shared" si="19"/>
        <v>177.254499999998-177.561599999998</v>
      </c>
      <c r="E610">
        <v>0</v>
      </c>
    </row>
    <row r="611" spans="2:5" x14ac:dyDescent="0.25">
      <c r="B611">
        <v>579</v>
      </c>
      <c r="C611" s="294">
        <f t="shared" si="18"/>
        <v>177.86879999999826</v>
      </c>
      <c r="D611" t="str">
        <f t="shared" si="19"/>
        <v>177.561699999998-177.868799999998</v>
      </c>
      <c r="E611">
        <v>0</v>
      </c>
    </row>
    <row r="612" spans="2:5" x14ac:dyDescent="0.25">
      <c r="B612">
        <v>580</v>
      </c>
      <c r="C612" s="294">
        <f t="shared" si="18"/>
        <v>178.17599999999825</v>
      </c>
      <c r="D612" t="str">
        <f t="shared" si="19"/>
        <v>177.868899999998-178.175999999998</v>
      </c>
      <c r="E612">
        <v>0</v>
      </c>
    </row>
    <row r="613" spans="2:5" x14ac:dyDescent="0.25">
      <c r="B613">
        <v>581</v>
      </c>
      <c r="C613" s="294">
        <f t="shared" si="18"/>
        <v>178.48319999999825</v>
      </c>
      <c r="D613" t="str">
        <f t="shared" si="19"/>
        <v>178.176099999998-178.483199999998</v>
      </c>
      <c r="E613">
        <v>0</v>
      </c>
    </row>
    <row r="614" spans="2:5" x14ac:dyDescent="0.25">
      <c r="B614">
        <v>582</v>
      </c>
      <c r="C614" s="294">
        <f t="shared" si="18"/>
        <v>178.79039999999824</v>
      </c>
      <c r="D614" t="str">
        <f t="shared" si="19"/>
        <v>178.483299999998-178.790399999998</v>
      </c>
      <c r="E614">
        <v>0</v>
      </c>
    </row>
    <row r="615" spans="2:5" x14ac:dyDescent="0.25">
      <c r="B615">
        <v>583</v>
      </c>
      <c r="C615" s="294">
        <f t="shared" si="18"/>
        <v>179.09759999999824</v>
      </c>
      <c r="D615" t="str">
        <f t="shared" si="19"/>
        <v>178.790499999998-179.097599999998</v>
      </c>
      <c r="E615">
        <v>0</v>
      </c>
    </row>
    <row r="616" spans="2:5" x14ac:dyDescent="0.25">
      <c r="B616">
        <v>584</v>
      </c>
      <c r="C616" s="294">
        <f t="shared" si="18"/>
        <v>179.40479999999823</v>
      </c>
      <c r="D616" t="str">
        <f t="shared" si="19"/>
        <v>179.097699999998-179.404799999998</v>
      </c>
      <c r="E616">
        <v>0</v>
      </c>
    </row>
    <row r="617" spans="2:5" x14ac:dyDescent="0.25">
      <c r="B617">
        <v>585</v>
      </c>
      <c r="C617" s="294">
        <f t="shared" si="18"/>
        <v>179.71199999999823</v>
      </c>
      <c r="D617" t="str">
        <f t="shared" si="19"/>
        <v>179.404899999998-179.711999999998</v>
      </c>
      <c r="E617">
        <v>0</v>
      </c>
    </row>
    <row r="618" spans="2:5" x14ac:dyDescent="0.25">
      <c r="B618">
        <v>586</v>
      </c>
      <c r="C618" s="294">
        <f t="shared" si="18"/>
        <v>180.01919999999822</v>
      </c>
      <c r="D618" t="str">
        <f t="shared" si="19"/>
        <v>179.712099999998-180.019199999998</v>
      </c>
      <c r="E618">
        <v>0</v>
      </c>
    </row>
    <row r="619" spans="2:5" x14ac:dyDescent="0.25">
      <c r="E619">
        <v>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F60"/>
  <sheetViews>
    <sheetView workbookViewId="0">
      <selection activeCell="J36" sqref="J36"/>
    </sheetView>
  </sheetViews>
  <sheetFormatPr defaultRowHeight="15" x14ac:dyDescent="0.25"/>
  <cols>
    <col min="2" max="2" width="9.140625" style="344" customWidth="1"/>
    <col min="3" max="31" width="9.140625" style="343" customWidth="1"/>
    <col min="32" max="32" width="9.140625" style="308" customWidth="1"/>
  </cols>
  <sheetData>
    <row r="1" spans="2:32" x14ac:dyDescent="0.25">
      <c r="B1" t="s">
        <v>907</v>
      </c>
    </row>
    <row r="2" spans="2:32" x14ac:dyDescent="0.25">
      <c r="B2" t="s">
        <v>908</v>
      </c>
    </row>
    <row r="4" spans="2:32" x14ac:dyDescent="0.25">
      <c r="B4" s="344" t="s">
        <v>909</v>
      </c>
      <c r="C4" s="343" t="s">
        <v>910</v>
      </c>
      <c r="D4" s="343" t="s">
        <v>911</v>
      </c>
      <c r="E4" s="343" t="s">
        <v>912</v>
      </c>
      <c r="F4" s="343" t="s">
        <v>913</v>
      </c>
      <c r="G4" s="343" t="s">
        <v>914</v>
      </c>
      <c r="H4" s="343" t="s">
        <v>915</v>
      </c>
      <c r="I4" s="343" t="s">
        <v>916</v>
      </c>
      <c r="J4" s="343" t="s">
        <v>917</v>
      </c>
      <c r="K4" s="343" t="s">
        <v>918</v>
      </c>
      <c r="L4" s="343" t="s">
        <v>919</v>
      </c>
      <c r="M4" s="343" t="s">
        <v>920</v>
      </c>
      <c r="N4" s="343" t="s">
        <v>921</v>
      </c>
      <c r="O4" s="343" t="s">
        <v>922</v>
      </c>
      <c r="P4" s="343" t="s">
        <v>923</v>
      </c>
      <c r="Q4" s="343" t="s">
        <v>924</v>
      </c>
      <c r="R4" s="343" t="s">
        <v>925</v>
      </c>
      <c r="S4" s="343" t="s">
        <v>926</v>
      </c>
      <c r="T4" s="343" t="s">
        <v>927</v>
      </c>
      <c r="U4" s="343" t="s">
        <v>928</v>
      </c>
      <c r="V4" s="343" t="s">
        <v>929</v>
      </c>
      <c r="W4" s="343" t="s">
        <v>930</v>
      </c>
      <c r="X4" s="343" t="s">
        <v>931</v>
      </c>
      <c r="Y4" s="343" t="s">
        <v>932</v>
      </c>
      <c r="Z4" s="343" t="s">
        <v>933</v>
      </c>
      <c r="AA4" s="343" t="s">
        <v>934</v>
      </c>
      <c r="AB4" s="343" t="s">
        <v>935</v>
      </c>
      <c r="AC4" s="343" t="s">
        <v>936</v>
      </c>
      <c r="AD4" s="343" t="s">
        <v>937</v>
      </c>
      <c r="AE4" s="343" t="s">
        <v>938</v>
      </c>
      <c r="AF4" s="308" t="s">
        <v>939</v>
      </c>
    </row>
    <row r="5" spans="2:32" x14ac:dyDescent="0.25">
      <c r="B5" s="396">
        <v>2021</v>
      </c>
      <c r="C5" s="397"/>
      <c r="D5" s="397"/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7"/>
      <c r="X5" s="397"/>
      <c r="Y5" s="397"/>
      <c r="Z5" s="397"/>
      <c r="AA5" s="397"/>
      <c r="AB5" s="397"/>
      <c r="AC5" s="397"/>
      <c r="AD5" s="397"/>
      <c r="AE5" s="397"/>
      <c r="AF5" s="398"/>
    </row>
    <row r="6" spans="2:32" x14ac:dyDescent="0.25">
      <c r="B6" s="399"/>
      <c r="C6" s="397"/>
      <c r="D6" s="397"/>
      <c r="E6" s="397"/>
      <c r="F6" s="397"/>
      <c r="G6" s="397"/>
      <c r="H6" s="397"/>
      <c r="I6" s="397"/>
      <c r="J6" s="397"/>
      <c r="K6" s="397"/>
      <c r="L6" s="397"/>
      <c r="M6" s="397"/>
      <c r="N6" s="397"/>
      <c r="O6" s="397"/>
      <c r="P6" s="397"/>
      <c r="Q6" s="397"/>
      <c r="R6" s="397"/>
      <c r="S6" s="397"/>
      <c r="T6" s="397"/>
      <c r="U6" s="397"/>
      <c r="V6" s="397"/>
      <c r="W6" s="397"/>
      <c r="X6" s="397"/>
      <c r="Y6" s="397"/>
      <c r="Z6" s="397"/>
      <c r="AA6" s="397"/>
      <c r="AB6" s="397"/>
      <c r="AC6" s="397"/>
      <c r="AD6" s="397"/>
      <c r="AE6" s="397"/>
      <c r="AF6" s="398"/>
    </row>
    <row r="7" spans="2:32" x14ac:dyDescent="0.25">
      <c r="B7" s="399"/>
      <c r="C7" s="397"/>
      <c r="D7" s="397"/>
      <c r="E7" s="397"/>
      <c r="F7" s="397"/>
      <c r="G7" s="397"/>
      <c r="H7" s="397"/>
      <c r="I7" s="397"/>
      <c r="J7" s="397"/>
      <c r="K7" s="397"/>
      <c r="L7" s="397"/>
      <c r="M7" s="397"/>
      <c r="N7" s="397"/>
      <c r="O7" s="397"/>
      <c r="P7" s="397"/>
      <c r="Q7" s="397"/>
      <c r="R7" s="397"/>
      <c r="S7" s="397"/>
      <c r="T7" s="397"/>
      <c r="U7" s="397"/>
      <c r="V7" s="397"/>
      <c r="W7" s="397"/>
      <c r="X7" s="397"/>
      <c r="Y7" s="397"/>
      <c r="Z7" s="397"/>
      <c r="AA7" s="397"/>
      <c r="AB7" s="397"/>
      <c r="AC7" s="397"/>
      <c r="AD7" s="397"/>
      <c r="AE7" s="397"/>
      <c r="AF7" s="398"/>
    </row>
    <row r="8" spans="2:32" x14ac:dyDescent="0.25">
      <c r="B8" s="400" t="s">
        <v>940</v>
      </c>
      <c r="C8" s="397"/>
      <c r="D8" s="397"/>
      <c r="E8" s="397"/>
      <c r="F8" s="397"/>
      <c r="G8" s="397"/>
      <c r="H8" s="397"/>
      <c r="I8" s="397"/>
      <c r="J8" s="397"/>
      <c r="K8" s="397"/>
      <c r="L8" s="397"/>
      <c r="M8" s="397"/>
      <c r="N8" s="397"/>
      <c r="O8" s="397"/>
      <c r="P8" s="397"/>
      <c r="Q8" s="397"/>
      <c r="R8" s="397"/>
      <c r="S8" s="397"/>
      <c r="T8" s="397"/>
      <c r="U8" s="397"/>
      <c r="V8" s="397"/>
      <c r="W8" s="397"/>
      <c r="X8" s="397"/>
      <c r="Y8" s="397"/>
      <c r="Z8" s="397"/>
      <c r="AA8" s="397"/>
      <c r="AB8" s="397"/>
      <c r="AC8" s="397"/>
      <c r="AD8" s="397"/>
      <c r="AE8" s="397"/>
      <c r="AF8" s="398"/>
    </row>
    <row r="9" spans="2:32" x14ac:dyDescent="0.25">
      <c r="B9" s="398"/>
      <c r="C9" s="397"/>
      <c r="D9" s="397"/>
      <c r="E9" s="397"/>
      <c r="F9" s="397"/>
      <c r="G9" s="397"/>
      <c r="H9" s="397"/>
      <c r="I9" s="397"/>
      <c r="J9" s="397"/>
      <c r="K9" s="397"/>
      <c r="L9" s="397"/>
      <c r="M9" s="397"/>
      <c r="N9" s="397"/>
      <c r="O9" s="397"/>
      <c r="P9" s="397"/>
      <c r="Q9" s="397"/>
      <c r="R9" s="397"/>
      <c r="S9" s="397"/>
      <c r="T9" s="397"/>
      <c r="U9" s="397"/>
      <c r="V9" s="397"/>
      <c r="W9" s="397"/>
      <c r="X9" s="397"/>
      <c r="Y9" s="397"/>
      <c r="Z9" s="397"/>
      <c r="AA9" s="397"/>
      <c r="AB9" s="397"/>
      <c r="AC9" s="397"/>
      <c r="AD9" s="397"/>
      <c r="AE9" s="397"/>
      <c r="AF9" s="398"/>
    </row>
    <row r="29" spans="2:32" x14ac:dyDescent="0.25">
      <c r="B29" s="400" t="s">
        <v>941</v>
      </c>
      <c r="C29" s="397"/>
      <c r="D29" s="397"/>
      <c r="E29" s="397"/>
      <c r="F29" s="397"/>
      <c r="G29" s="397"/>
      <c r="H29" s="397"/>
      <c r="I29" s="397"/>
      <c r="J29" s="397"/>
      <c r="K29" s="397"/>
      <c r="L29" s="397"/>
      <c r="M29" s="397"/>
      <c r="N29" s="397"/>
      <c r="O29" s="397"/>
      <c r="P29" s="397"/>
      <c r="Q29" s="397"/>
      <c r="R29" s="397"/>
      <c r="S29" s="397"/>
      <c r="T29" s="397"/>
      <c r="U29" s="397"/>
      <c r="V29" s="397"/>
      <c r="W29" s="397"/>
      <c r="X29" s="397"/>
      <c r="Y29" s="397"/>
      <c r="Z29" s="397"/>
      <c r="AA29" s="397"/>
      <c r="AB29" s="397"/>
      <c r="AC29" s="397"/>
      <c r="AD29" s="397"/>
      <c r="AE29" s="397"/>
      <c r="AF29" s="398"/>
    </row>
    <row r="30" spans="2:32" x14ac:dyDescent="0.25">
      <c r="B30" s="398"/>
      <c r="C30" s="397"/>
      <c r="D30" s="397"/>
      <c r="E30" s="397"/>
      <c r="F30" s="397"/>
      <c r="G30" s="397"/>
      <c r="H30" s="397"/>
      <c r="I30" s="397"/>
      <c r="J30" s="397"/>
      <c r="K30" s="397"/>
      <c r="L30" s="397"/>
      <c r="M30" s="397"/>
      <c r="N30" s="397"/>
      <c r="O30" s="397"/>
      <c r="P30" s="397"/>
      <c r="Q30" s="397"/>
      <c r="R30" s="397"/>
      <c r="S30" s="397"/>
      <c r="T30" s="397"/>
      <c r="U30" s="397"/>
      <c r="V30" s="397"/>
      <c r="W30" s="397"/>
      <c r="X30" s="397"/>
      <c r="Y30" s="397"/>
      <c r="Z30" s="397"/>
      <c r="AA30" s="397"/>
      <c r="AB30" s="397"/>
      <c r="AC30" s="397"/>
      <c r="AD30" s="397"/>
      <c r="AE30" s="397"/>
      <c r="AF30" s="398"/>
    </row>
    <row r="59" spans="2:32" x14ac:dyDescent="0.25">
      <c r="B59" s="401" t="s">
        <v>942</v>
      </c>
      <c r="C59" s="397"/>
      <c r="D59" s="397"/>
      <c r="E59" s="397"/>
      <c r="F59" s="397"/>
      <c r="G59" s="397"/>
      <c r="H59" s="397"/>
      <c r="I59" s="397"/>
      <c r="J59" s="397"/>
      <c r="K59" s="397"/>
      <c r="L59" s="397"/>
      <c r="M59" s="397"/>
      <c r="N59" s="397"/>
      <c r="O59" s="397"/>
      <c r="P59" s="397"/>
      <c r="Q59" s="397"/>
      <c r="R59" s="397"/>
      <c r="S59" s="397"/>
      <c r="T59" s="397"/>
      <c r="U59" s="397"/>
      <c r="V59" s="397"/>
      <c r="W59" s="397"/>
      <c r="X59" s="397"/>
      <c r="Y59" s="397"/>
      <c r="Z59" s="397"/>
      <c r="AA59" s="397"/>
      <c r="AB59" s="397"/>
      <c r="AC59" s="397"/>
      <c r="AD59" s="397"/>
      <c r="AE59" s="397"/>
      <c r="AF59" s="398"/>
    </row>
    <row r="60" spans="2:32" x14ac:dyDescent="0.25">
      <c r="B60" s="398"/>
      <c r="C60" s="397"/>
      <c r="D60" s="397"/>
      <c r="E60" s="397"/>
      <c r="F60" s="397"/>
      <c r="G60" s="397"/>
      <c r="H60" s="397"/>
      <c r="I60" s="397"/>
      <c r="J60" s="397"/>
      <c r="K60" s="397"/>
      <c r="L60" s="397"/>
      <c r="M60" s="397"/>
      <c r="N60" s="397"/>
      <c r="O60" s="397"/>
      <c r="P60" s="397"/>
      <c r="Q60" s="397"/>
      <c r="R60" s="397"/>
      <c r="S60" s="397"/>
      <c r="T60" s="397"/>
      <c r="U60" s="397"/>
      <c r="V60" s="397"/>
      <c r="W60" s="397"/>
      <c r="X60" s="397"/>
      <c r="Y60" s="397"/>
      <c r="Z60" s="397"/>
      <c r="AA60" s="397"/>
      <c r="AB60" s="397"/>
      <c r="AC60" s="397"/>
      <c r="AD60" s="397"/>
      <c r="AE60" s="397"/>
      <c r="AF60" s="398"/>
    </row>
  </sheetData>
  <mergeCells count="4">
    <mergeCell ref="B5:AF7"/>
    <mergeCell ref="B8:AF9"/>
    <mergeCell ref="B59:AF60"/>
    <mergeCell ref="B29:AF30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48" sqref="H48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N26"/>
  <sheetViews>
    <sheetView workbookViewId="0">
      <selection activeCell="F31" sqref="F31"/>
    </sheetView>
  </sheetViews>
  <sheetFormatPr defaultRowHeight="15" x14ac:dyDescent="0.25"/>
  <sheetData>
    <row r="3" spans="2:14" x14ac:dyDescent="0.25">
      <c r="B3" t="s">
        <v>943</v>
      </c>
      <c r="J3" s="309" t="s">
        <v>944</v>
      </c>
      <c r="K3" s="309"/>
      <c r="N3" t="s">
        <v>945</v>
      </c>
    </row>
    <row r="4" spans="2:14" x14ac:dyDescent="0.25">
      <c r="B4" s="335" t="s">
        <v>946</v>
      </c>
      <c r="J4" s="309"/>
      <c r="K4" s="309"/>
      <c r="N4" s="335" t="s">
        <v>947</v>
      </c>
    </row>
    <row r="5" spans="2:14" x14ac:dyDescent="0.25">
      <c r="J5" s="309" t="s">
        <v>948</v>
      </c>
      <c r="K5" s="309"/>
    </row>
    <row r="6" spans="2:14" x14ac:dyDescent="0.25">
      <c r="B6" t="s">
        <v>949</v>
      </c>
      <c r="J6" s="309" t="s">
        <v>950</v>
      </c>
      <c r="K6" s="309"/>
    </row>
    <row r="7" spans="2:14" x14ac:dyDescent="0.25">
      <c r="B7" s="335" t="s">
        <v>951</v>
      </c>
      <c r="J7" s="309" t="s">
        <v>952</v>
      </c>
      <c r="K7" s="309"/>
    </row>
    <row r="9" spans="2:14" x14ac:dyDescent="0.25">
      <c r="B9" t="s">
        <v>953</v>
      </c>
    </row>
    <row r="10" spans="2:14" x14ac:dyDescent="0.25">
      <c r="B10" s="335" t="s">
        <v>954</v>
      </c>
    </row>
    <row r="12" spans="2:14" x14ac:dyDescent="0.25">
      <c r="B12" t="s">
        <v>955</v>
      </c>
      <c r="J12" t="s">
        <v>956</v>
      </c>
      <c r="K12" t="s">
        <v>957</v>
      </c>
    </row>
    <row r="13" spans="2:14" x14ac:dyDescent="0.25">
      <c r="B13" s="335" t="s">
        <v>958</v>
      </c>
      <c r="J13" t="s">
        <v>959</v>
      </c>
      <c r="K13" t="s">
        <v>957</v>
      </c>
    </row>
    <row r="15" spans="2:14" x14ac:dyDescent="0.25">
      <c r="B15" t="s">
        <v>960</v>
      </c>
    </row>
    <row r="16" spans="2:14" x14ac:dyDescent="0.25">
      <c r="B16" s="335" t="s">
        <v>961</v>
      </c>
    </row>
    <row r="18" spans="2:2" x14ac:dyDescent="0.25">
      <c r="B18" t="s">
        <v>962</v>
      </c>
    </row>
    <row r="19" spans="2:2" x14ac:dyDescent="0.25">
      <c r="B19" s="335" t="s">
        <v>963</v>
      </c>
    </row>
    <row r="22" spans="2:2" x14ac:dyDescent="0.25">
      <c r="B22" t="s">
        <v>964</v>
      </c>
    </row>
    <row r="23" spans="2:2" x14ac:dyDescent="0.25">
      <c r="B23" s="335" t="s">
        <v>965</v>
      </c>
    </row>
    <row r="25" spans="2:2" x14ac:dyDescent="0.25">
      <c r="B25" t="s">
        <v>966</v>
      </c>
    </row>
    <row r="26" spans="2:2" x14ac:dyDescent="0.25">
      <c r="B26" t="s">
        <v>967</v>
      </c>
    </row>
  </sheetData>
  <hyperlinks>
    <hyperlink ref="B4" r:id="rId1" xr:uid="{00000000-0004-0000-0600-000000000000}"/>
    <hyperlink ref="N4" r:id="rId2" display="https://console.aws.amazon.com/console/home?region=us-east-1" xr:uid="{00000000-0004-0000-0600-000001000000}"/>
    <hyperlink ref="B7" r:id="rId3" display="https://finviz.com/screener.ashx?v=211&amp;f=ipodate_prevyear,sh_avgvol_o1000,sh_float_u50,sh_price_u10" xr:uid="{00000000-0004-0000-0600-000002000000}"/>
    <hyperlink ref="B10" r:id="rId4" display="https://finviz.com/futures.ashx" xr:uid="{00000000-0004-0000-0600-000003000000}"/>
    <hyperlink ref="B13" r:id="rId5" display="https://www.optionsprofitcalculator.com/calculator/long-call.html" xr:uid="{00000000-0004-0000-0600-000004000000}"/>
    <hyperlink ref="B16" r:id="rId6" display="https://www.marketwatch.com/economy-politics/calendar" xr:uid="{00000000-0004-0000-0600-000005000000}"/>
    <hyperlink ref="B19" r:id="rId7" display="https://stockanalysis.com/ipos/calendar/" xr:uid="{00000000-0004-0000-0600-000006000000}"/>
    <hyperlink ref="B23" r:id="rId8" display="https://finviz.com/screener.ashx?v=211&amp;f=cap_smallover,sh_price_o10,sh_relvol_o1,ta_rsi_nob50,ta_volatility_wo3&amp;ft=4" xr:uid="{00000000-0004-0000-06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Stocks</vt:lpstr>
      <vt:lpstr>Watchlists</vt:lpstr>
      <vt:lpstr>Daytrades</vt:lpstr>
      <vt:lpstr>Stockstats</vt:lpstr>
      <vt:lpstr>Themes</vt:lpstr>
      <vt:lpstr>TCSSS</vt:lpstr>
      <vt:lpstr>Useful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Fitzpatrick</dc:creator>
  <cp:lastModifiedBy>Eoin</cp:lastModifiedBy>
  <cp:lastPrinted>2021-08-09T02:00:55Z</cp:lastPrinted>
  <dcterms:created xsi:type="dcterms:W3CDTF">2015-06-05T18:17:20Z</dcterms:created>
  <dcterms:modified xsi:type="dcterms:W3CDTF">2021-08-28T19:53:08Z</dcterms:modified>
</cp:coreProperties>
</file>